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CHP\"/>
    </mc:Choice>
  </mc:AlternateContent>
  <bookViews>
    <workbookView xWindow="0" yWindow="0" windowWidth="25605" windowHeight="19020" tabRatio="500"/>
  </bookViews>
  <sheets>
    <sheet name="Sheet1" sheetId="1" r:id="rId1"/>
    <sheet name="Sheet2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" l="1"/>
  <c r="C54" i="1"/>
  <c r="C49" i="1"/>
  <c r="C48" i="1"/>
  <c r="C47" i="1"/>
  <c r="C43" i="1"/>
  <c r="F15" i="1"/>
  <c r="C15" i="1"/>
  <c r="F16" i="1"/>
  <c r="C16" i="1"/>
  <c r="C27" i="1"/>
  <c r="F11" i="1"/>
  <c r="F12" i="1"/>
  <c r="F21" i="1"/>
  <c r="C11" i="1"/>
  <c r="C12" i="1"/>
  <c r="C21" i="1"/>
  <c r="C52" i="1"/>
  <c r="C51" i="1"/>
  <c r="C45" i="1"/>
  <c r="C44" i="1"/>
  <c r="C19" i="1"/>
  <c r="F9" i="1"/>
  <c r="F6" i="1"/>
  <c r="C9" i="1"/>
  <c r="C6" i="1"/>
  <c r="J6" i="1"/>
  <c r="J11" i="1"/>
  <c r="J17" i="1"/>
</calcChain>
</file>

<file path=xl/sharedStrings.xml><?xml version="1.0" encoding="utf-8"?>
<sst xmlns="http://schemas.openxmlformats.org/spreadsheetml/2006/main" count="74" uniqueCount="51">
  <si>
    <t>Local Adjust</t>
  </si>
  <si>
    <t>KWh</t>
  </si>
  <si>
    <t>MWh</t>
  </si>
  <si>
    <t>Annual</t>
  </si>
  <si>
    <t>Annual O&amp;M</t>
  </si>
  <si>
    <t>Nasdaq Nat. Gas</t>
  </si>
  <si>
    <t>per mmBTU</t>
  </si>
  <si>
    <t>1 mmBTU=</t>
  </si>
  <si>
    <t>Natural Gas</t>
  </si>
  <si>
    <t>Electricity</t>
  </si>
  <si>
    <t>fuel</t>
  </si>
  <si>
    <t>electric</t>
  </si>
  <si>
    <t>Looking at financial statement from 2012-2013 "Utilities"</t>
  </si>
  <si>
    <t>roughly 70%</t>
  </si>
  <si>
    <t>using this data, lets look at financial statement from 2015-2016 "Utilities o&amp;m"</t>
  </si>
  <si>
    <t>annual cost</t>
  </si>
  <si>
    <t>DO NOTHING</t>
  </si>
  <si>
    <t>per MWh</t>
  </si>
  <si>
    <t>Lmp grid wholesale</t>
  </si>
  <si>
    <t>Annual Gas</t>
  </si>
  <si>
    <t>Annual Elect</t>
  </si>
  <si>
    <t>Total Annual</t>
  </si>
  <si>
    <t>inflation rate</t>
  </si>
  <si>
    <t>life cycle</t>
  </si>
  <si>
    <t>conversion factor</t>
  </si>
  <si>
    <t>Assuming energy/heat demand is similar, using no cogen costs from 2012 study</t>
  </si>
  <si>
    <t>DOE Cap Cost</t>
  </si>
  <si>
    <t>DOE O&amp;M</t>
  </si>
  <si>
    <t>CHPreciprocating</t>
  </si>
  <si>
    <t>CHPsteam</t>
  </si>
  <si>
    <t>DOE cost/kW</t>
  </si>
  <si>
    <t>Plant Size (kW)</t>
  </si>
  <si>
    <t>kWh</t>
  </si>
  <si>
    <t>AWreciprocating</t>
  </si>
  <si>
    <t>PWreciprocating</t>
  </si>
  <si>
    <t>PWsteam</t>
  </si>
  <si>
    <t>PWcurrent</t>
  </si>
  <si>
    <t>AWcurrent</t>
  </si>
  <si>
    <t>AWsteam</t>
  </si>
  <si>
    <t>RESULTS</t>
  </si>
  <si>
    <t>Demand Total</t>
  </si>
  <si>
    <t>Market Prices</t>
  </si>
  <si>
    <t xml:space="preserve">PWreciprocating </t>
  </si>
  <si>
    <t>incremental</t>
  </si>
  <si>
    <t>mmBTU</t>
  </si>
  <si>
    <t>UGI Nat. Gas2015</t>
  </si>
  <si>
    <t>savings 20 yr</t>
  </si>
  <si>
    <t>Principal Cost</t>
  </si>
  <si>
    <t>1 mcf=</t>
  </si>
  <si>
    <t>P/A,5%,20</t>
  </si>
  <si>
    <t>A/P,5%,20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</si>
</sst>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E+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  <xf numFmtId="44" fontId="0" fillId="2" borderId="0" xfId="0" applyNumberFormat="1" applyFill="1"/>
    <xf numFmtId="44" fontId="0" fillId="2" borderId="0" xfId="1" applyFont="1" applyFill="1"/>
    <xf numFmtId="10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0" fontId="0" fillId="0" borderId="1" xfId="0" applyBorder="1"/>
    <xf numFmtId="0" fontId="0" fillId="0" borderId="2" xfId="0" applyBorder="1"/>
    <xf numFmtId="44" fontId="0" fillId="0" borderId="3" xfId="0" applyNumberFormat="1" applyBorder="1"/>
    <xf numFmtId="0" fontId="0" fillId="0" borderId="4" xfId="0" applyBorder="1"/>
    <xf numFmtId="0" fontId="0" fillId="0" borderId="0" xfId="0" applyBorder="1"/>
    <xf numFmtId="4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2" workbookViewId="0">
      <selection activeCell="B60" sqref="B60"/>
    </sheetView>
  </sheetViews>
  <sheetFormatPr defaultColWidth="11" defaultRowHeight="15.75" x14ac:dyDescent="0.25"/>
  <cols>
    <col min="1" max="1" width="14.75" bestFit="1" customWidth="1"/>
    <col min="2" max="2" width="16.75" bestFit="1" customWidth="1"/>
    <col min="3" max="3" width="19.625" bestFit="1" customWidth="1"/>
    <col min="4" max="4" width="13.75" bestFit="1" customWidth="1"/>
    <col min="5" max="5" width="16.75" bestFit="1" customWidth="1"/>
    <col min="6" max="6" width="13.75" bestFit="1" customWidth="1"/>
    <col min="8" max="8" width="13.75" bestFit="1" customWidth="1"/>
    <col min="9" max="9" width="14.75" bestFit="1" customWidth="1"/>
    <col min="10" max="10" width="13.75" bestFit="1" customWidth="1"/>
  </cols>
  <sheetData>
    <row r="1" spans="2:11" x14ac:dyDescent="0.25">
      <c r="B1" t="s">
        <v>28</v>
      </c>
      <c r="E1" t="s">
        <v>29</v>
      </c>
      <c r="I1" t="s">
        <v>16</v>
      </c>
    </row>
    <row r="3" spans="2:11" x14ac:dyDescent="0.25">
      <c r="B3" t="s">
        <v>30</v>
      </c>
      <c r="C3" s="1">
        <v>1700</v>
      </c>
      <c r="E3" t="s">
        <v>30</v>
      </c>
      <c r="F3" s="1">
        <v>850</v>
      </c>
      <c r="I3" t="s">
        <v>25</v>
      </c>
      <c r="J3" s="1"/>
    </row>
    <row r="4" spans="2:11" x14ac:dyDescent="0.25">
      <c r="B4" t="s">
        <v>31</v>
      </c>
      <c r="C4">
        <v>4000</v>
      </c>
      <c r="E4" t="s">
        <v>31</v>
      </c>
      <c r="F4">
        <v>4000</v>
      </c>
      <c r="I4" t="s">
        <v>10</v>
      </c>
      <c r="J4" s="2">
        <v>829000</v>
      </c>
    </row>
    <row r="5" spans="2:11" x14ac:dyDescent="0.25">
      <c r="I5" t="s">
        <v>11</v>
      </c>
      <c r="J5" s="1">
        <v>2249000</v>
      </c>
    </row>
    <row r="6" spans="2:11" x14ac:dyDescent="0.25">
      <c r="B6" t="s">
        <v>26</v>
      </c>
      <c r="C6" s="2">
        <f>C3*C4</f>
        <v>6800000</v>
      </c>
      <c r="E6" t="s">
        <v>26</v>
      </c>
      <c r="F6" s="2">
        <f>F3*F4</f>
        <v>3400000</v>
      </c>
      <c r="J6" s="2">
        <f>SUM(J4:J5)</f>
        <v>3078000</v>
      </c>
    </row>
    <row r="7" spans="2:11" x14ac:dyDescent="0.25">
      <c r="B7" s="1"/>
      <c r="E7" s="1"/>
    </row>
    <row r="8" spans="2:11" x14ac:dyDescent="0.25">
      <c r="B8" t="s">
        <v>0</v>
      </c>
      <c r="C8">
        <v>1.042</v>
      </c>
      <c r="E8" t="s">
        <v>0</v>
      </c>
      <c r="F8">
        <v>1.042</v>
      </c>
      <c r="I8" t="s">
        <v>12</v>
      </c>
    </row>
    <row r="9" spans="2:11" x14ac:dyDescent="0.25">
      <c r="B9" s="3" t="s">
        <v>47</v>
      </c>
      <c r="C9" s="5">
        <f>C6*C8</f>
        <v>7085600</v>
      </c>
      <c r="E9" s="3" t="s">
        <v>47</v>
      </c>
      <c r="F9" s="4">
        <f>F6*F8</f>
        <v>3542800</v>
      </c>
      <c r="J9" s="1">
        <v>4522000</v>
      </c>
    </row>
    <row r="10" spans="2:11" x14ac:dyDescent="0.25">
      <c r="B10" s="1" t="s">
        <v>27</v>
      </c>
      <c r="E10" t="s">
        <v>27</v>
      </c>
    </row>
    <row r="11" spans="2:11" x14ac:dyDescent="0.25">
      <c r="B11">
        <v>1.4E-2</v>
      </c>
      <c r="C11" s="1">
        <f>B11*C27</f>
        <v>560000</v>
      </c>
      <c r="E11">
        <v>8.0000000000000002E-3</v>
      </c>
      <c r="F11" s="1">
        <f>E11*C27</f>
        <v>320000</v>
      </c>
      <c r="J11">
        <f>J6/J9</f>
        <v>0.68067226890756305</v>
      </c>
      <c r="K11" t="s">
        <v>13</v>
      </c>
    </row>
    <row r="12" spans="2:11" x14ac:dyDescent="0.25">
      <c r="B12" t="s">
        <v>4</v>
      </c>
      <c r="C12" s="1">
        <f>C11</f>
        <v>560000</v>
      </c>
      <c r="E12" t="s">
        <v>4</v>
      </c>
      <c r="F12" s="2">
        <f>F11</f>
        <v>320000</v>
      </c>
    </row>
    <row r="13" spans="2:11" x14ac:dyDescent="0.25">
      <c r="I13" s="2"/>
      <c r="J13" s="2"/>
    </row>
    <row r="14" spans="2:11" x14ac:dyDescent="0.25">
      <c r="B14" t="s">
        <v>5</v>
      </c>
      <c r="C14" s="8">
        <v>2.8159999999999998</v>
      </c>
      <c r="D14" t="s">
        <v>6</v>
      </c>
      <c r="E14" t="s">
        <v>5</v>
      </c>
      <c r="F14" s="9">
        <v>2.8159999999999998</v>
      </c>
      <c r="G14" t="s">
        <v>6</v>
      </c>
      <c r="I14" t="s">
        <v>14</v>
      </c>
    </row>
    <row r="15" spans="2:11" x14ac:dyDescent="0.25">
      <c r="B15" t="s">
        <v>45</v>
      </c>
      <c r="C15" s="10">
        <f>3.1502*(1/C29)</f>
        <v>3.052519379844961</v>
      </c>
      <c r="D15" t="s">
        <v>6</v>
      </c>
      <c r="E15" t="s">
        <v>45</v>
      </c>
      <c r="F15" s="11">
        <f>C15</f>
        <v>3.052519379844961</v>
      </c>
      <c r="G15" t="s">
        <v>6</v>
      </c>
      <c r="J15" s="1">
        <v>4245000</v>
      </c>
    </row>
    <row r="16" spans="2:11" x14ac:dyDescent="0.25">
      <c r="B16" t="s">
        <v>19</v>
      </c>
      <c r="C16" s="1">
        <f>C26*C15/C28</f>
        <v>416625.23823168594</v>
      </c>
      <c r="E16" t="s">
        <v>19</v>
      </c>
      <c r="F16" s="1">
        <f>F15*C26/C28</f>
        <v>416625.23823168594</v>
      </c>
    </row>
    <row r="17" spans="2:10" x14ac:dyDescent="0.25">
      <c r="I17" s="3" t="s">
        <v>15</v>
      </c>
      <c r="J17" s="4">
        <f>J15*J11</f>
        <v>2889453.781512605</v>
      </c>
    </row>
    <row r="18" spans="2:10" x14ac:dyDescent="0.25">
      <c r="B18" t="s">
        <v>18</v>
      </c>
      <c r="C18" s="1">
        <v>18</v>
      </c>
      <c r="D18" t="s">
        <v>17</v>
      </c>
      <c r="E18" t="s">
        <v>18</v>
      </c>
      <c r="F18" s="1">
        <v>18</v>
      </c>
      <c r="G18" t="s">
        <v>17</v>
      </c>
    </row>
    <row r="19" spans="2:10" x14ac:dyDescent="0.25">
      <c r="B19" t="s">
        <v>20</v>
      </c>
      <c r="C19" s="2">
        <f>C18*C31</f>
        <v>144000</v>
      </c>
      <c r="E19" t="s">
        <v>20</v>
      </c>
      <c r="F19" s="1">
        <v>144000</v>
      </c>
    </row>
    <row r="21" spans="2:10" x14ac:dyDescent="0.25">
      <c r="B21" s="3" t="s">
        <v>21</v>
      </c>
      <c r="C21" s="4">
        <f>C19+C16+C12</f>
        <v>1120625.2382316859</v>
      </c>
      <c r="E21" s="3" t="s">
        <v>21</v>
      </c>
      <c r="F21" s="4">
        <f>SUM(F12,F16,F19)</f>
        <v>880625.23823168594</v>
      </c>
      <c r="J21" s="2"/>
    </row>
    <row r="24" spans="2:10" x14ac:dyDescent="0.25">
      <c r="B24" t="s">
        <v>41</v>
      </c>
    </row>
    <row r="25" spans="2:10" x14ac:dyDescent="0.25">
      <c r="B25" t="s">
        <v>8</v>
      </c>
    </row>
    <row r="26" spans="2:10" x14ac:dyDescent="0.25">
      <c r="B26" t="s">
        <v>2</v>
      </c>
      <c r="C26">
        <v>40000</v>
      </c>
      <c r="D26" t="s">
        <v>3</v>
      </c>
    </row>
    <row r="27" spans="2:10" x14ac:dyDescent="0.25">
      <c r="B27" t="s">
        <v>1</v>
      </c>
      <c r="C27">
        <f>C26*1000</f>
        <v>40000000</v>
      </c>
    </row>
    <row r="28" spans="2:10" x14ac:dyDescent="0.25">
      <c r="B28" t="s">
        <v>7</v>
      </c>
      <c r="C28" s="7">
        <v>0.29307100000000003</v>
      </c>
      <c r="F28" s="2"/>
      <c r="H28" s="22"/>
    </row>
    <row r="29" spans="2:10" x14ac:dyDescent="0.25">
      <c r="B29" t="s">
        <v>48</v>
      </c>
      <c r="C29">
        <v>1.032</v>
      </c>
      <c r="D29" t="s">
        <v>44</v>
      </c>
      <c r="F29" s="2"/>
    </row>
    <row r="30" spans="2:10" x14ac:dyDescent="0.25">
      <c r="B30" t="s">
        <v>9</v>
      </c>
    </row>
    <row r="31" spans="2:10" x14ac:dyDescent="0.25">
      <c r="B31" t="s">
        <v>2</v>
      </c>
      <c r="C31">
        <v>8000</v>
      </c>
      <c r="D31" t="s">
        <v>3</v>
      </c>
    </row>
    <row r="34" spans="2:8" x14ac:dyDescent="0.25">
      <c r="B34" t="s">
        <v>39</v>
      </c>
    </row>
    <row r="35" spans="2:8" x14ac:dyDescent="0.25">
      <c r="B35" t="s">
        <v>49</v>
      </c>
      <c r="C35" t="s">
        <v>24</v>
      </c>
      <c r="D35">
        <v>12.462</v>
      </c>
    </row>
    <row r="36" spans="2:8" x14ac:dyDescent="0.25">
      <c r="B36" t="s">
        <v>50</v>
      </c>
      <c r="C36" t="s">
        <v>24</v>
      </c>
      <c r="D36">
        <v>8.0199999999999994E-2</v>
      </c>
      <c r="H36" s="2"/>
    </row>
    <row r="37" spans="2:8" x14ac:dyDescent="0.25">
      <c r="B37" t="s">
        <v>22</v>
      </c>
      <c r="C37" s="6">
        <v>0.02</v>
      </c>
      <c r="D37" s="2"/>
      <c r="H37" s="2"/>
    </row>
    <row r="38" spans="2:8" x14ac:dyDescent="0.25">
      <c r="B38" t="s">
        <v>23</v>
      </c>
      <c r="C38">
        <v>20</v>
      </c>
      <c r="D38" s="2"/>
    </row>
    <row r="39" spans="2:8" x14ac:dyDescent="0.25">
      <c r="B39" t="s">
        <v>40</v>
      </c>
      <c r="C39">
        <v>30000000</v>
      </c>
      <c r="D39" t="s">
        <v>32</v>
      </c>
    </row>
    <row r="43" spans="2:8" x14ac:dyDescent="0.25">
      <c r="B43" t="s">
        <v>34</v>
      </c>
      <c r="C43" s="2">
        <f>-C9-C21*D35</f>
        <v>-21050831.71884327</v>
      </c>
    </row>
    <row r="44" spans="2:8" x14ac:dyDescent="0.25">
      <c r="B44" t="s">
        <v>35</v>
      </c>
      <c r="C44" s="2">
        <f>-F9-F21*D35</f>
        <v>-14517151.71884327</v>
      </c>
    </row>
    <row r="45" spans="2:8" x14ac:dyDescent="0.25">
      <c r="B45" t="s">
        <v>36</v>
      </c>
      <c r="C45" s="2">
        <f>-J17*D35</f>
        <v>-36008373.025210083</v>
      </c>
    </row>
    <row r="47" spans="2:8" x14ac:dyDescent="0.25">
      <c r="B47" t="s">
        <v>33</v>
      </c>
      <c r="C47" s="2">
        <f>-C21-C9*D36</f>
        <v>-1688890.3582316861</v>
      </c>
    </row>
    <row r="48" spans="2:8" x14ac:dyDescent="0.25">
      <c r="B48" t="s">
        <v>38</v>
      </c>
      <c r="C48" s="2">
        <f>-F21-F9*D36</f>
        <v>-1164757.798231686</v>
      </c>
    </row>
    <row r="49" spans="1:4" x14ac:dyDescent="0.25">
      <c r="B49" t="s">
        <v>37</v>
      </c>
      <c r="C49" s="2">
        <f>-J17</f>
        <v>-2889453.781512605</v>
      </c>
    </row>
    <row r="51" spans="1:4" x14ac:dyDescent="0.25">
      <c r="A51" s="12" t="s">
        <v>43</v>
      </c>
      <c r="B51" s="13" t="s">
        <v>42</v>
      </c>
      <c r="C51" s="14">
        <f>-C9+(J17-C21)*D35</f>
        <v>14957541.306366812</v>
      </c>
    </row>
    <row r="52" spans="1:4" x14ac:dyDescent="0.25">
      <c r="A52" s="15" t="s">
        <v>46</v>
      </c>
      <c r="B52" s="16" t="s">
        <v>35</v>
      </c>
      <c r="C52" s="17">
        <f>-F9+(J17-F21)*D35</f>
        <v>21491221.306366812</v>
      </c>
    </row>
    <row r="53" spans="1:4" x14ac:dyDescent="0.25">
      <c r="A53" s="15"/>
      <c r="B53" s="16"/>
      <c r="C53" s="18"/>
    </row>
    <row r="54" spans="1:4" x14ac:dyDescent="0.25">
      <c r="A54" s="15"/>
      <c r="B54" s="16" t="s">
        <v>33</v>
      </c>
      <c r="C54" s="17">
        <f>ABS(C49-C47)</f>
        <v>1200563.423280919</v>
      </c>
      <c r="D54" s="2"/>
    </row>
    <row r="55" spans="1:4" x14ac:dyDescent="0.25">
      <c r="A55" s="19"/>
      <c r="B55" s="20" t="s">
        <v>38</v>
      </c>
      <c r="C55" s="21">
        <f>ABS(C49-C48)</f>
        <v>1724695.983280919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Lafayette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Windows User</cp:lastModifiedBy>
  <dcterms:created xsi:type="dcterms:W3CDTF">2016-11-08T03:43:56Z</dcterms:created>
  <dcterms:modified xsi:type="dcterms:W3CDTF">2016-11-29T01:59:48Z</dcterms:modified>
</cp:coreProperties>
</file>