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9"/>
  <workbookPr codeName="ThisWorkbook" autoCompressPictures="0"/>
  <mc:AlternateContent xmlns:mc="http://schemas.openxmlformats.org/markup-compatibility/2006">
    <mc:Choice Requires="x15">
      <x15ac:absPath xmlns:x15ac="http://schemas.microsoft.com/office/spreadsheetml/2010/11/ac" url="/Users/khakiss/Downloads/"/>
    </mc:Choice>
  </mc:AlternateContent>
  <xr:revisionPtr revIDLastSave="0" documentId="8_{9A721704-5E03-2F47-894C-C5CA1201E58F}" xr6:coauthVersionLast="47" xr6:coauthVersionMax="47" xr10:uidLastSave="{00000000-0000-0000-0000-000000000000}"/>
  <bookViews>
    <workbookView xWindow="0" yWindow="500" windowWidth="28800" windowHeight="15800" activeTab="3" xr2:uid="{00000000-000D-0000-FFFF-FFFF00000000}"/>
  </bookViews>
  <sheets>
    <sheet name="Title Page" sheetId="4" r:id="rId1"/>
    <sheet name="Time" sheetId="5" r:id="rId2"/>
    <sheet name="Angles" sheetId="6" r:id="rId3"/>
    <sheet name="Insolation" sheetId="2" r:id="rId4"/>
    <sheet name="Sunrise-Sunset" sheetId="8" r:id="rId5"/>
    <sheet name="Position" sheetId="10" r:id="rId6"/>
    <sheet name="Graph" sheetId="7" r:id="rId7"/>
    <sheet name="PSH" sheetId="9" r:id="rId8"/>
    <sheet name="Sheet1" sheetId="11"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6" i="2" l="1"/>
  <c r="L7" i="2"/>
  <c r="P9" i="5" l="1"/>
  <c r="L5" i="6" s="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2" i="11"/>
  <c r="L1" i="7"/>
  <c r="E18" i="5"/>
  <c r="M41" i="2"/>
  <c r="M43" i="2"/>
  <c r="DG110" i="9"/>
  <c r="DG109" i="9"/>
  <c r="DG108" i="9"/>
  <c r="DG107" i="9"/>
  <c r="DG106" i="9"/>
  <c r="DG105" i="9"/>
  <c r="DG104" i="9"/>
  <c r="DG103" i="9"/>
  <c r="DG102" i="9"/>
  <c r="DG101" i="9"/>
  <c r="DG100" i="9"/>
  <c r="DG99" i="9"/>
  <c r="DG98" i="9"/>
  <c r="DG97" i="9"/>
  <c r="DG96" i="9"/>
  <c r="DG95" i="9"/>
  <c r="DG94" i="9"/>
  <c r="DG93" i="9"/>
  <c r="DG92" i="9"/>
  <c r="DG91" i="9"/>
  <c r="DG90" i="9"/>
  <c r="DG89" i="9"/>
  <c r="DG88" i="9"/>
  <c r="DG87" i="9"/>
  <c r="DG86" i="9"/>
  <c r="DG85" i="9"/>
  <c r="DG84" i="9"/>
  <c r="DG83" i="9"/>
  <c r="DG82" i="9"/>
  <c r="DG81" i="9"/>
  <c r="DG80" i="9"/>
  <c r="CL110" i="9"/>
  <c r="CL109" i="9"/>
  <c r="CL108" i="9"/>
  <c r="CL107" i="9"/>
  <c r="CL106" i="9"/>
  <c r="CL105" i="9"/>
  <c r="CL104" i="9"/>
  <c r="CL103" i="9"/>
  <c r="CL102" i="9"/>
  <c r="CL101" i="9"/>
  <c r="CL100" i="9"/>
  <c r="CL99" i="9"/>
  <c r="CL98" i="9"/>
  <c r="CL97" i="9"/>
  <c r="CL96" i="9"/>
  <c r="CL95" i="9"/>
  <c r="CL94" i="9"/>
  <c r="CL93" i="9"/>
  <c r="CL92" i="9"/>
  <c r="CL91" i="9"/>
  <c r="CL90" i="9"/>
  <c r="CL89" i="9"/>
  <c r="CL88" i="9"/>
  <c r="CL87" i="9"/>
  <c r="CL86" i="9"/>
  <c r="CL85" i="9"/>
  <c r="CL84" i="9"/>
  <c r="CL83" i="9"/>
  <c r="CL82" i="9"/>
  <c r="CL81" i="9"/>
  <c r="CL80" i="9"/>
  <c r="BQ110" i="9"/>
  <c r="BQ109" i="9"/>
  <c r="BQ108" i="9"/>
  <c r="BQ107" i="9"/>
  <c r="BQ106" i="9"/>
  <c r="BQ105" i="9"/>
  <c r="BQ104" i="9"/>
  <c r="BQ103" i="9"/>
  <c r="BQ102" i="9"/>
  <c r="BQ101" i="9"/>
  <c r="BQ100" i="9"/>
  <c r="BQ99" i="9"/>
  <c r="BQ98" i="9"/>
  <c r="BQ97" i="9"/>
  <c r="BQ96" i="9"/>
  <c r="BQ95" i="9"/>
  <c r="BQ94" i="9"/>
  <c r="BQ93" i="9"/>
  <c r="BQ92" i="9"/>
  <c r="BQ91" i="9"/>
  <c r="BQ90" i="9"/>
  <c r="BQ89" i="9"/>
  <c r="BQ88" i="9"/>
  <c r="BQ87" i="9"/>
  <c r="BQ86" i="9"/>
  <c r="BQ85" i="9"/>
  <c r="BQ84" i="9"/>
  <c r="BQ83" i="9"/>
  <c r="BQ82" i="9"/>
  <c r="BQ81" i="9"/>
  <c r="BQ80" i="9"/>
  <c r="AV80" i="9"/>
  <c r="AV110" i="9"/>
  <c r="AV109" i="9"/>
  <c r="AV108" i="9"/>
  <c r="AV107" i="9"/>
  <c r="AV106" i="9"/>
  <c r="AV105" i="9"/>
  <c r="AV104" i="9"/>
  <c r="AV103" i="9"/>
  <c r="AV102" i="9"/>
  <c r="AV101" i="9"/>
  <c r="AV100" i="9"/>
  <c r="AV99" i="9"/>
  <c r="AV98" i="9"/>
  <c r="AV97" i="9"/>
  <c r="AV96" i="9"/>
  <c r="AV95" i="9"/>
  <c r="AV94" i="9"/>
  <c r="AV93" i="9"/>
  <c r="AV92" i="9"/>
  <c r="AV91" i="9"/>
  <c r="AV90" i="9"/>
  <c r="AV89" i="9"/>
  <c r="AV88" i="9"/>
  <c r="AV87" i="9"/>
  <c r="AV86" i="9"/>
  <c r="AV85" i="9"/>
  <c r="AV84" i="9"/>
  <c r="AV83" i="9"/>
  <c r="AV82" i="9"/>
  <c r="AV81" i="9"/>
  <c r="AA80" i="9"/>
  <c r="AA110" i="9"/>
  <c r="AA109" i="9"/>
  <c r="AA108" i="9"/>
  <c r="AA107" i="9"/>
  <c r="AA106" i="9"/>
  <c r="AA105" i="9"/>
  <c r="AA104" i="9"/>
  <c r="AA103" i="9"/>
  <c r="AA102" i="9"/>
  <c r="AA101" i="9"/>
  <c r="AA100" i="9"/>
  <c r="AA99" i="9"/>
  <c r="AA98" i="9"/>
  <c r="AA97" i="9"/>
  <c r="AA96" i="9"/>
  <c r="AA95" i="9"/>
  <c r="AA94" i="9"/>
  <c r="AA93" i="9"/>
  <c r="AA92" i="9"/>
  <c r="AA91" i="9"/>
  <c r="AA90" i="9"/>
  <c r="AA89" i="9"/>
  <c r="AA88" i="9"/>
  <c r="AA87" i="9"/>
  <c r="AA86" i="9"/>
  <c r="AA85" i="9"/>
  <c r="AA84" i="9"/>
  <c r="AA83" i="9"/>
  <c r="AA82" i="9"/>
  <c r="AA81" i="9"/>
  <c r="F80" i="9"/>
  <c r="F110" i="9"/>
  <c r="F109" i="9"/>
  <c r="F108" i="9"/>
  <c r="F107" i="9"/>
  <c r="F106" i="9"/>
  <c r="F105" i="9"/>
  <c r="F104" i="9"/>
  <c r="F103" i="9"/>
  <c r="F102" i="9"/>
  <c r="F101" i="9"/>
  <c r="F100" i="9"/>
  <c r="F99" i="9"/>
  <c r="F98" i="9"/>
  <c r="F97" i="9"/>
  <c r="F96" i="9"/>
  <c r="F95" i="9"/>
  <c r="F94" i="9"/>
  <c r="F93" i="9"/>
  <c r="F92" i="9"/>
  <c r="F91" i="9"/>
  <c r="F90" i="9"/>
  <c r="F89" i="9"/>
  <c r="F88" i="9"/>
  <c r="F87" i="9"/>
  <c r="F86" i="9"/>
  <c r="F85" i="9"/>
  <c r="F84" i="9"/>
  <c r="F83" i="9"/>
  <c r="F82" i="9"/>
  <c r="F81" i="9"/>
  <c r="DG74" i="9"/>
  <c r="DG73" i="9"/>
  <c r="DG72" i="9"/>
  <c r="DG71" i="9"/>
  <c r="DG70" i="9"/>
  <c r="DG69" i="9"/>
  <c r="DG68" i="9"/>
  <c r="DG67" i="9"/>
  <c r="DG66" i="9"/>
  <c r="DG65" i="9"/>
  <c r="DG64" i="9"/>
  <c r="DG63" i="9"/>
  <c r="DG62" i="9"/>
  <c r="DG61" i="9"/>
  <c r="DG60" i="9"/>
  <c r="DG59" i="9"/>
  <c r="DG58" i="9"/>
  <c r="DG57" i="9"/>
  <c r="DG56" i="9"/>
  <c r="DG55" i="9"/>
  <c r="DG54" i="9"/>
  <c r="DG53" i="9"/>
  <c r="DG52" i="9"/>
  <c r="DG51" i="9"/>
  <c r="DG50" i="9"/>
  <c r="DG49" i="9"/>
  <c r="DG48" i="9"/>
  <c r="DG47" i="9"/>
  <c r="DG46" i="9"/>
  <c r="DG45" i="9"/>
  <c r="DG44" i="9"/>
  <c r="CL44" i="9"/>
  <c r="CL74" i="9"/>
  <c r="CL73" i="9"/>
  <c r="CL72" i="9"/>
  <c r="CL71" i="9"/>
  <c r="CL70" i="9"/>
  <c r="CL69" i="9"/>
  <c r="CL68" i="9"/>
  <c r="CL67" i="9"/>
  <c r="CL66" i="9"/>
  <c r="CL65" i="9"/>
  <c r="CL64" i="9"/>
  <c r="CL63" i="9"/>
  <c r="CL62" i="9"/>
  <c r="CL61" i="9"/>
  <c r="CL60" i="9"/>
  <c r="CL59" i="9"/>
  <c r="CL58" i="9"/>
  <c r="CL57" i="9"/>
  <c r="CL56" i="9"/>
  <c r="CL55" i="9"/>
  <c r="CL54" i="9"/>
  <c r="CL53" i="9"/>
  <c r="CL52" i="9"/>
  <c r="CL51" i="9"/>
  <c r="CL50" i="9"/>
  <c r="CL49" i="9"/>
  <c r="CL48" i="9"/>
  <c r="CL47" i="9"/>
  <c r="CL46" i="9"/>
  <c r="CL45" i="9"/>
  <c r="BQ44" i="9"/>
  <c r="BQ74" i="9"/>
  <c r="BQ73" i="9"/>
  <c r="BQ72" i="9"/>
  <c r="BQ71" i="9"/>
  <c r="BQ70" i="9"/>
  <c r="BQ69" i="9"/>
  <c r="BQ68" i="9"/>
  <c r="BQ67" i="9"/>
  <c r="BQ66" i="9"/>
  <c r="BQ65" i="9"/>
  <c r="BQ64" i="9"/>
  <c r="BQ63" i="9"/>
  <c r="BQ62" i="9"/>
  <c r="BQ61" i="9"/>
  <c r="BQ60" i="9"/>
  <c r="BQ59" i="9"/>
  <c r="BQ58" i="9"/>
  <c r="BQ57" i="9"/>
  <c r="BQ56" i="9"/>
  <c r="BQ55" i="9"/>
  <c r="BQ54" i="9"/>
  <c r="BQ53" i="9"/>
  <c r="BQ52" i="9"/>
  <c r="BQ51" i="9"/>
  <c r="BQ50" i="9"/>
  <c r="BQ49" i="9"/>
  <c r="BQ48" i="9"/>
  <c r="BQ47" i="9"/>
  <c r="BQ46" i="9"/>
  <c r="BQ45" i="9"/>
  <c r="AV44" i="9"/>
  <c r="AV74" i="9"/>
  <c r="AV73" i="9"/>
  <c r="AV72" i="9"/>
  <c r="AV71" i="9"/>
  <c r="AV70" i="9"/>
  <c r="AV69" i="9"/>
  <c r="AV68" i="9"/>
  <c r="AV67" i="9"/>
  <c r="AV66" i="9"/>
  <c r="AV65" i="9"/>
  <c r="AV64" i="9"/>
  <c r="AV63" i="9"/>
  <c r="AV62" i="9"/>
  <c r="AV61" i="9"/>
  <c r="AV60" i="9"/>
  <c r="AV59" i="9"/>
  <c r="AV58" i="9"/>
  <c r="AV57" i="9"/>
  <c r="AV56" i="9"/>
  <c r="AV55" i="9"/>
  <c r="AV54" i="9"/>
  <c r="AV53" i="9"/>
  <c r="AV52" i="9"/>
  <c r="AV51" i="9"/>
  <c r="AV50" i="9"/>
  <c r="AV49" i="9"/>
  <c r="AV48" i="9"/>
  <c r="AV47" i="9"/>
  <c r="AV46" i="9"/>
  <c r="AV45" i="9"/>
  <c r="AA74" i="9"/>
  <c r="AA44" i="9"/>
  <c r="AA73" i="9"/>
  <c r="AA72" i="9"/>
  <c r="AA71" i="9"/>
  <c r="AA70" i="9"/>
  <c r="AA69" i="9"/>
  <c r="AA68" i="9"/>
  <c r="AA67" i="9"/>
  <c r="AA66" i="9"/>
  <c r="AA65" i="9"/>
  <c r="AA64" i="9"/>
  <c r="AA63" i="9"/>
  <c r="AA62" i="9"/>
  <c r="AA61" i="9"/>
  <c r="AA60" i="9"/>
  <c r="AA59" i="9"/>
  <c r="AA58" i="9"/>
  <c r="AA57" i="9"/>
  <c r="AA56" i="9"/>
  <c r="AA55" i="9"/>
  <c r="AA54" i="9"/>
  <c r="AA53" i="9"/>
  <c r="AA52" i="9"/>
  <c r="AA51" i="9"/>
  <c r="AA50" i="9"/>
  <c r="AA49" i="9"/>
  <c r="AA48" i="9"/>
  <c r="AA47" i="9"/>
  <c r="AA46" i="9"/>
  <c r="AA45"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44" i="9"/>
  <c r="A45" i="9"/>
  <c r="A43" i="9"/>
  <c r="B41" i="9"/>
  <c r="C41" i="9"/>
  <c r="D41" i="9"/>
  <c r="E41" i="9"/>
  <c r="F41" i="9"/>
  <c r="G41" i="9"/>
  <c r="H41" i="9"/>
  <c r="X45" i="9"/>
  <c r="DD45" i="9"/>
  <c r="DD49" i="9"/>
  <c r="I41" i="9"/>
  <c r="C81" i="9"/>
  <c r="C89" i="9"/>
  <c r="AS45" i="9"/>
  <c r="BN45" i="9"/>
  <c r="CI45" i="9"/>
  <c r="CI55" i="9"/>
  <c r="C85" i="9"/>
  <c r="C45" i="9"/>
  <c r="E20" i="5"/>
  <c r="F14" i="5"/>
  <c r="C87" i="9"/>
  <c r="CI53" i="9"/>
  <c r="CI49" i="9"/>
  <c r="CI51" i="9"/>
  <c r="CI47" i="9"/>
  <c r="AS53" i="9"/>
  <c r="AS49" i="9"/>
  <c r="AS55" i="9"/>
  <c r="AS51" i="9"/>
  <c r="AS47" i="9"/>
  <c r="C83" i="9"/>
  <c r="C91" i="9"/>
  <c r="DD47" i="9"/>
  <c r="DD55" i="9"/>
  <c r="DD53" i="9"/>
  <c r="DD51" i="9"/>
  <c r="X53" i="9"/>
  <c r="X51" i="9"/>
  <c r="X47" i="9"/>
  <c r="X55" i="9"/>
  <c r="X49" i="9"/>
  <c r="BN53" i="9"/>
  <c r="BN49" i="9"/>
  <c r="BN55" i="9"/>
  <c r="BN51" i="9"/>
  <c r="BN47" i="9"/>
  <c r="J41" i="9"/>
  <c r="X81" i="9"/>
  <c r="C53" i="9"/>
  <c r="C49" i="9"/>
  <c r="C55" i="9"/>
  <c r="C51" i="9"/>
  <c r="C47" i="9"/>
  <c r="E44" i="9"/>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4" i="7"/>
  <c r="G3" i="7"/>
  <c r="H4" i="7"/>
  <c r="G2" i="7"/>
  <c r="K41" i="9"/>
  <c r="AS81" i="9"/>
  <c r="Z44" i="9"/>
  <c r="AC44" i="9"/>
  <c r="Z74" i="9"/>
  <c r="Z46" i="9"/>
  <c r="Z48" i="9"/>
  <c r="Z50" i="9"/>
  <c r="Z52" i="9"/>
  <c r="Z54" i="9"/>
  <c r="Z56" i="9"/>
  <c r="Z58" i="9"/>
  <c r="Z60" i="9"/>
  <c r="Z62" i="9"/>
  <c r="Z64" i="9"/>
  <c r="Z66" i="9"/>
  <c r="Z68" i="9"/>
  <c r="Z70" i="9"/>
  <c r="Z72" i="9"/>
  <c r="AC46" i="9"/>
  <c r="AC48" i="9"/>
  <c r="AB48" i="9"/>
  <c r="AC50" i="9"/>
  <c r="AC52" i="9"/>
  <c r="AC54" i="9"/>
  <c r="AC56" i="9"/>
  <c r="AC58" i="9"/>
  <c r="AC60" i="9"/>
  <c r="AC62" i="9"/>
  <c r="AC64" i="9"/>
  <c r="AC66" i="9"/>
  <c r="AC68" i="9"/>
  <c r="AC70" i="9"/>
  <c r="AC72" i="9"/>
  <c r="AC74" i="9"/>
  <c r="Z45" i="9"/>
  <c r="Z47" i="9"/>
  <c r="Z49" i="9"/>
  <c r="Z51" i="9"/>
  <c r="Z53" i="9"/>
  <c r="Z55" i="9"/>
  <c r="Z57" i="9"/>
  <c r="Z59" i="9"/>
  <c r="Z61" i="9"/>
  <c r="Z63" i="9"/>
  <c r="Z65" i="9"/>
  <c r="Z67" i="9"/>
  <c r="Z69" i="9"/>
  <c r="Z71" i="9"/>
  <c r="Z73" i="9"/>
  <c r="DF46" i="9"/>
  <c r="DI46" i="9"/>
  <c r="DF48" i="9"/>
  <c r="DF50" i="9"/>
  <c r="DI50" i="9"/>
  <c r="DF52" i="9"/>
  <c r="DF54" i="9"/>
  <c r="DI54" i="9"/>
  <c r="DF56" i="9"/>
  <c r="DF58" i="9"/>
  <c r="DI58" i="9"/>
  <c r="DF60" i="9"/>
  <c r="DF62" i="9"/>
  <c r="DI62" i="9"/>
  <c r="DF64" i="9"/>
  <c r="DF66" i="9"/>
  <c r="DI66" i="9"/>
  <c r="DF68" i="9"/>
  <c r="DF70" i="9"/>
  <c r="DI70" i="9"/>
  <c r="DF72" i="9"/>
  <c r="DF74" i="9"/>
  <c r="DI74" i="9"/>
  <c r="DF45" i="9"/>
  <c r="DI45" i="9"/>
  <c r="DF47" i="9"/>
  <c r="DF49" i="9"/>
  <c r="DI49" i="9"/>
  <c r="DF51" i="9"/>
  <c r="DF53" i="9"/>
  <c r="DI53" i="9"/>
  <c r="DF55" i="9"/>
  <c r="DF57" i="9"/>
  <c r="DI57" i="9"/>
  <c r="DF59" i="9"/>
  <c r="DF61" i="9"/>
  <c r="DI61" i="9"/>
  <c r="DF63" i="9"/>
  <c r="DF65" i="9"/>
  <c r="DI65" i="9"/>
  <c r="DF67" i="9"/>
  <c r="DF69" i="9"/>
  <c r="DI69" i="9"/>
  <c r="DF71" i="9"/>
  <c r="DF73" i="9"/>
  <c r="DI73" i="9"/>
  <c r="DF44" i="9"/>
  <c r="E81" i="9"/>
  <c r="E83" i="9"/>
  <c r="E85" i="9"/>
  <c r="E87" i="9"/>
  <c r="E89" i="9"/>
  <c r="E91" i="9"/>
  <c r="E93" i="9"/>
  <c r="E95" i="9"/>
  <c r="E97" i="9"/>
  <c r="E99" i="9"/>
  <c r="E101" i="9"/>
  <c r="E103" i="9"/>
  <c r="E105" i="9"/>
  <c r="E107" i="9"/>
  <c r="E109" i="9"/>
  <c r="E80" i="9"/>
  <c r="H81" i="9"/>
  <c r="H83" i="9"/>
  <c r="H85" i="9"/>
  <c r="H87" i="9"/>
  <c r="H89" i="9"/>
  <c r="H91" i="9"/>
  <c r="G91" i="9"/>
  <c r="H93" i="9"/>
  <c r="H95" i="9"/>
  <c r="H97" i="9"/>
  <c r="H99" i="9"/>
  <c r="H101" i="9"/>
  <c r="H103" i="9"/>
  <c r="H105" i="9"/>
  <c r="I105" i="9"/>
  <c r="H107" i="9"/>
  <c r="H109" i="9"/>
  <c r="I109" i="9"/>
  <c r="H80" i="9"/>
  <c r="E82" i="9"/>
  <c r="E84" i="9"/>
  <c r="E86" i="9"/>
  <c r="E88" i="9"/>
  <c r="E90" i="9"/>
  <c r="E92" i="9"/>
  <c r="E94" i="9"/>
  <c r="E96" i="9"/>
  <c r="E98" i="9"/>
  <c r="E100" i="9"/>
  <c r="E102" i="9"/>
  <c r="E104" i="9"/>
  <c r="E106" i="9"/>
  <c r="E108" i="9"/>
  <c r="E110" i="9"/>
  <c r="CK46" i="9"/>
  <c r="CN46" i="9"/>
  <c r="CK48" i="9"/>
  <c r="CN48" i="9"/>
  <c r="CK50" i="9"/>
  <c r="CN50" i="9"/>
  <c r="CK52" i="9"/>
  <c r="CN52" i="9"/>
  <c r="CK54" i="9"/>
  <c r="CN54" i="9"/>
  <c r="CM54" i="9"/>
  <c r="CK56" i="9"/>
  <c r="CN56" i="9"/>
  <c r="CM56" i="9"/>
  <c r="CK58" i="9"/>
  <c r="CN58" i="9"/>
  <c r="CM58" i="9"/>
  <c r="CK60" i="9"/>
  <c r="CN60" i="9"/>
  <c r="CK62" i="9"/>
  <c r="CN62" i="9"/>
  <c r="CK64" i="9"/>
  <c r="CN64" i="9"/>
  <c r="CK66" i="9"/>
  <c r="CN66" i="9"/>
  <c r="CK68" i="9"/>
  <c r="CN68" i="9"/>
  <c r="CK70" i="9"/>
  <c r="CN70" i="9"/>
  <c r="CK72" i="9"/>
  <c r="CN72" i="9"/>
  <c r="CK74" i="9"/>
  <c r="CN74" i="9"/>
  <c r="CK45" i="9"/>
  <c r="CN45" i="9"/>
  <c r="CK47" i="9"/>
  <c r="CK49" i="9"/>
  <c r="CN49" i="9"/>
  <c r="CK51" i="9"/>
  <c r="CK53" i="9"/>
  <c r="CN53" i="9"/>
  <c r="CK55" i="9"/>
  <c r="CK57" i="9"/>
  <c r="CN57" i="9"/>
  <c r="CM57" i="9"/>
  <c r="CK59" i="9"/>
  <c r="CK61" i="9"/>
  <c r="CN61" i="9"/>
  <c r="CM61" i="9"/>
  <c r="CK63" i="9"/>
  <c r="CK65" i="9"/>
  <c r="CN65" i="9"/>
  <c r="CP65" i="9"/>
  <c r="CM65" i="9"/>
  <c r="CK67" i="9"/>
  <c r="CK69" i="9"/>
  <c r="CN69" i="9"/>
  <c r="CP69" i="9"/>
  <c r="CM69" i="9"/>
  <c r="CK71" i="9"/>
  <c r="CK73" i="9"/>
  <c r="CN73" i="9"/>
  <c r="CP73" i="9"/>
  <c r="CM73" i="9"/>
  <c r="CK44" i="9"/>
  <c r="X83" i="9"/>
  <c r="X89" i="9"/>
  <c r="X91" i="9"/>
  <c r="X85" i="9"/>
  <c r="X87" i="9"/>
  <c r="BP45" i="9"/>
  <c r="BP47" i="9"/>
  <c r="BP49" i="9"/>
  <c r="BP51" i="9"/>
  <c r="BP53" i="9"/>
  <c r="BP55" i="9"/>
  <c r="BP57" i="9"/>
  <c r="BP59" i="9"/>
  <c r="BP61" i="9"/>
  <c r="BP63" i="9"/>
  <c r="BP65" i="9"/>
  <c r="BP67" i="9"/>
  <c r="BP69" i="9"/>
  <c r="BP71" i="9"/>
  <c r="BP73" i="9"/>
  <c r="BP44" i="9"/>
  <c r="BS45" i="9"/>
  <c r="BU45" i="9"/>
  <c r="BS47" i="9"/>
  <c r="BS49" i="9"/>
  <c r="BT49" i="9"/>
  <c r="BS51" i="9"/>
  <c r="BS53" i="9"/>
  <c r="BS55" i="9"/>
  <c r="BS57" i="9"/>
  <c r="BS59" i="9"/>
  <c r="BS61" i="9"/>
  <c r="BS63" i="9"/>
  <c r="BS65" i="9"/>
  <c r="BU65" i="9"/>
  <c r="BS67" i="9"/>
  <c r="BU67" i="9"/>
  <c r="BR67" i="9"/>
  <c r="BS69" i="9"/>
  <c r="BT69" i="9"/>
  <c r="BS71" i="9"/>
  <c r="BU71" i="9"/>
  <c r="BR71" i="9"/>
  <c r="BS73" i="9"/>
  <c r="BT73" i="9"/>
  <c r="BS44" i="9"/>
  <c r="BR49" i="9"/>
  <c r="BR51" i="9"/>
  <c r="BR53" i="9"/>
  <c r="BR55" i="9"/>
  <c r="BR57" i="9"/>
  <c r="BR59" i="9"/>
  <c r="BR61" i="9"/>
  <c r="BR63" i="9"/>
  <c r="BR65" i="9"/>
  <c r="BP46" i="9"/>
  <c r="BP48" i="9"/>
  <c r="BP50" i="9"/>
  <c r="BP52" i="9"/>
  <c r="BP54" i="9"/>
  <c r="BP56" i="9"/>
  <c r="BP58" i="9"/>
  <c r="BP60" i="9"/>
  <c r="BP62" i="9"/>
  <c r="BP64" i="9"/>
  <c r="BP66" i="9"/>
  <c r="BP68" i="9"/>
  <c r="BP70" i="9"/>
  <c r="BP72" i="9"/>
  <c r="BP74" i="9"/>
  <c r="AU45" i="9"/>
  <c r="AU47" i="9"/>
  <c r="AU49" i="9"/>
  <c r="AU51" i="9"/>
  <c r="AU53" i="9"/>
  <c r="AU55" i="9"/>
  <c r="AU57" i="9"/>
  <c r="AU59" i="9"/>
  <c r="AU61" i="9"/>
  <c r="AU63" i="9"/>
  <c r="AU65" i="9"/>
  <c r="AU67" i="9"/>
  <c r="AU69" i="9"/>
  <c r="AU71" i="9"/>
  <c r="AX71" i="9"/>
  <c r="AU73" i="9"/>
  <c r="AX73" i="9"/>
  <c r="AZ73" i="9"/>
  <c r="AW73" i="9"/>
  <c r="AU44" i="9"/>
  <c r="AX44" i="9"/>
  <c r="AY44" i="9"/>
  <c r="AW44" i="9"/>
  <c r="AX45" i="9"/>
  <c r="AX47" i="9"/>
  <c r="AW47" i="9"/>
  <c r="AX49" i="9"/>
  <c r="AW49" i="9"/>
  <c r="AX51" i="9"/>
  <c r="AW51" i="9"/>
  <c r="AX53" i="9"/>
  <c r="AW53" i="9"/>
  <c r="AX55" i="9"/>
  <c r="AW55" i="9"/>
  <c r="AX57" i="9"/>
  <c r="AW57" i="9"/>
  <c r="AX59" i="9"/>
  <c r="AX61" i="9"/>
  <c r="AW61" i="9"/>
  <c r="AX63" i="9"/>
  <c r="AX65" i="9"/>
  <c r="AW65" i="9"/>
  <c r="AX67" i="9"/>
  <c r="AW67" i="9"/>
  <c r="AX69" i="9"/>
  <c r="AY69" i="9"/>
  <c r="AU46" i="9"/>
  <c r="AU48" i="9"/>
  <c r="AU50" i="9"/>
  <c r="AU52" i="9"/>
  <c r="AU54" i="9"/>
  <c r="AU56" i="9"/>
  <c r="AU58" i="9"/>
  <c r="AU60" i="9"/>
  <c r="AU62" i="9"/>
  <c r="AU64" i="9"/>
  <c r="AU66" i="9"/>
  <c r="AU68" i="9"/>
  <c r="AU70" i="9"/>
  <c r="AU72" i="9"/>
  <c r="AU74" i="9"/>
  <c r="J91" i="9"/>
  <c r="I91" i="9"/>
  <c r="J83" i="9"/>
  <c r="I83" i="9"/>
  <c r="G83" i="9"/>
  <c r="J105" i="9"/>
  <c r="G105" i="9"/>
  <c r="J87" i="9"/>
  <c r="I87" i="9"/>
  <c r="J109" i="9"/>
  <c r="G109" i="9"/>
  <c r="CO65" i="9"/>
  <c r="BT65" i="9"/>
  <c r="BU69" i="9"/>
  <c r="BR69" i="9"/>
  <c r="BT45" i="9"/>
  <c r="BR45" i="9"/>
  <c r="BU49" i="9"/>
  <c r="BU73" i="9"/>
  <c r="BR73" i="9"/>
  <c r="AE68" i="9"/>
  <c r="AD68" i="9"/>
  <c r="AD48" i="9"/>
  <c r="AE48" i="9"/>
  <c r="AD44" i="9"/>
  <c r="AE44" i="9"/>
  <c r="AE72" i="9"/>
  <c r="AB72" i="9"/>
  <c r="AD72" i="9"/>
  <c r="E46" i="9"/>
  <c r="H46" i="9"/>
  <c r="E48" i="9"/>
  <c r="H48" i="9"/>
  <c r="G48" i="9"/>
  <c r="E50" i="9"/>
  <c r="H50" i="9"/>
  <c r="E52" i="9"/>
  <c r="H52" i="9"/>
  <c r="G52" i="9"/>
  <c r="E54" i="9"/>
  <c r="H54" i="9"/>
  <c r="E57" i="9"/>
  <c r="H57" i="9"/>
  <c r="E59" i="9"/>
  <c r="H59" i="9"/>
  <c r="E61" i="9"/>
  <c r="H61" i="9"/>
  <c r="E63" i="9"/>
  <c r="H63" i="9"/>
  <c r="E65" i="9"/>
  <c r="H65" i="9"/>
  <c r="E67" i="9"/>
  <c r="H67" i="9"/>
  <c r="E69" i="9"/>
  <c r="H69" i="9"/>
  <c r="E71" i="9"/>
  <c r="H71" i="9"/>
  <c r="E73" i="9"/>
  <c r="H73" i="9"/>
  <c r="E55" i="9"/>
  <c r="H55" i="9"/>
  <c r="H44" i="9"/>
  <c r="E45" i="9"/>
  <c r="E47" i="9"/>
  <c r="E49" i="9"/>
  <c r="E51" i="9"/>
  <c r="E53" i="9"/>
  <c r="E56" i="9"/>
  <c r="E58" i="9"/>
  <c r="E60" i="9"/>
  <c r="E62" i="9"/>
  <c r="E64" i="9"/>
  <c r="E66" i="9"/>
  <c r="E68" i="9"/>
  <c r="E70" i="9"/>
  <c r="E72" i="9"/>
  <c r="E74" i="9"/>
  <c r="A2" i="9"/>
  <c r="A3" i="9"/>
  <c r="A4" i="9"/>
  <c r="CO61" i="9"/>
  <c r="CO73" i="9"/>
  <c r="CO69" i="9"/>
  <c r="CO57" i="9"/>
  <c r="BT67" i="9"/>
  <c r="AY73" i="9"/>
  <c r="BT71" i="9"/>
  <c r="CP61" i="9"/>
  <c r="CP57" i="9"/>
  <c r="AB68" i="9"/>
  <c r="AZ67" i="9"/>
  <c r="AZ51" i="9"/>
  <c r="AY47" i="9"/>
  <c r="AZ55" i="9"/>
  <c r="CO74" i="9"/>
  <c r="CP74" i="9"/>
  <c r="CM74" i="9"/>
  <c r="AZ44" i="9"/>
  <c r="CO66" i="9"/>
  <c r="CP66" i="9"/>
  <c r="CM66" i="9"/>
  <c r="CP70" i="9"/>
  <c r="CM70" i="9"/>
  <c r="CO70" i="9"/>
  <c r="CM62" i="9"/>
  <c r="CP62" i="9"/>
  <c r="CO62" i="9"/>
  <c r="AY51" i="9"/>
  <c r="AZ47" i="9"/>
  <c r="AY55" i="9"/>
  <c r="AY67" i="9"/>
  <c r="AB44" i="9"/>
  <c r="CO68" i="9"/>
  <c r="CP68" i="9"/>
  <c r="CM68" i="9"/>
  <c r="CO64" i="9"/>
  <c r="CP64" i="9"/>
  <c r="CM64" i="9"/>
  <c r="CM60" i="9"/>
  <c r="CO60" i="9"/>
  <c r="CP60" i="9"/>
  <c r="CM52" i="9"/>
  <c r="CO52" i="9"/>
  <c r="CP52" i="9"/>
  <c r="CP48" i="9"/>
  <c r="CO48" i="9"/>
  <c r="CM48" i="9"/>
  <c r="CO72" i="9"/>
  <c r="CP72" i="9"/>
  <c r="CM72" i="9"/>
  <c r="AZ69" i="9"/>
  <c r="AW69" i="9"/>
  <c r="G87" i="9"/>
  <c r="DJ73" i="9"/>
  <c r="DK73" i="9"/>
  <c r="DH73" i="9"/>
  <c r="DJ69" i="9"/>
  <c r="DK69" i="9"/>
  <c r="DH69" i="9"/>
  <c r="DK65" i="9"/>
  <c r="DH65" i="9"/>
  <c r="DJ65" i="9"/>
  <c r="DJ61" i="9"/>
  <c r="DH61" i="9"/>
  <c r="DK61" i="9"/>
  <c r="DK57" i="9"/>
  <c r="DH57" i="9"/>
  <c r="DJ57" i="9"/>
  <c r="DJ53" i="9"/>
  <c r="DK53" i="9"/>
  <c r="DH53" i="9"/>
  <c r="DJ49" i="9"/>
  <c r="DH49" i="9"/>
  <c r="DK49" i="9"/>
  <c r="DK45" i="9"/>
  <c r="DJ45" i="9"/>
  <c r="DH45" i="9"/>
  <c r="CP53" i="9"/>
  <c r="CO53" i="9"/>
  <c r="CM53" i="9"/>
  <c r="CO49" i="9"/>
  <c r="CM49" i="9"/>
  <c r="CP49" i="9"/>
  <c r="CO45" i="9"/>
  <c r="CM45" i="9"/>
  <c r="CP45" i="9"/>
  <c r="DJ74" i="9"/>
  <c r="DK74" i="9"/>
  <c r="DH74" i="9"/>
  <c r="DJ70" i="9"/>
  <c r="DK70" i="9"/>
  <c r="DH70" i="9"/>
  <c r="DJ66" i="9"/>
  <c r="DK66" i="9"/>
  <c r="DH66" i="9"/>
  <c r="DJ62" i="9"/>
  <c r="DK62" i="9"/>
  <c r="DH62" i="9"/>
  <c r="DK58" i="9"/>
  <c r="DJ58" i="9"/>
  <c r="DH58" i="9"/>
  <c r="DJ54" i="9"/>
  <c r="DK54" i="9"/>
  <c r="DH54" i="9"/>
  <c r="DK50" i="9"/>
  <c r="DJ50" i="9"/>
  <c r="DH50" i="9"/>
  <c r="DK46" i="9"/>
  <c r="DJ46" i="9"/>
  <c r="DH46" i="9"/>
  <c r="BA72" i="9"/>
  <c r="BB72" i="9"/>
  <c r="BA68" i="9"/>
  <c r="BB68" i="9"/>
  <c r="BA64" i="9"/>
  <c r="BB64" i="9"/>
  <c r="BA60" i="9"/>
  <c r="BB60" i="9"/>
  <c r="BA56" i="9"/>
  <c r="BB56" i="9"/>
  <c r="BA52" i="9"/>
  <c r="BB52" i="9"/>
  <c r="BA48" i="9"/>
  <c r="BB48" i="9"/>
  <c r="AZ71" i="9"/>
  <c r="AW71" i="9"/>
  <c r="AY71" i="9"/>
  <c r="AY63" i="9"/>
  <c r="AZ63" i="9"/>
  <c r="AY59" i="9"/>
  <c r="AZ59" i="9"/>
  <c r="BA44" i="9"/>
  <c r="BB44" i="9"/>
  <c r="BA71" i="9"/>
  <c r="BB71" i="9"/>
  <c r="BA67" i="9"/>
  <c r="BB67" i="9"/>
  <c r="BA63" i="9"/>
  <c r="BB63" i="9"/>
  <c r="BA59" i="9"/>
  <c r="BB59" i="9"/>
  <c r="BA55" i="9"/>
  <c r="BB55" i="9"/>
  <c r="BA51" i="9"/>
  <c r="BB51" i="9"/>
  <c r="BA47" i="9"/>
  <c r="BB47" i="9"/>
  <c r="AX72" i="9"/>
  <c r="AX68" i="9"/>
  <c r="AX64" i="9"/>
  <c r="AX60" i="9"/>
  <c r="AX56" i="9"/>
  <c r="AX52" i="9"/>
  <c r="AX48" i="9"/>
  <c r="BV74" i="9"/>
  <c r="BW74" i="9"/>
  <c r="BV70" i="9"/>
  <c r="BW70" i="9"/>
  <c r="BV66" i="9"/>
  <c r="BW66" i="9"/>
  <c r="BV62" i="9"/>
  <c r="BW62" i="9"/>
  <c r="BV58" i="9"/>
  <c r="BW58" i="9"/>
  <c r="BV54" i="9"/>
  <c r="BW54" i="9"/>
  <c r="BV50" i="9"/>
  <c r="BW50" i="9"/>
  <c r="BV46" i="9"/>
  <c r="BW46" i="9"/>
  <c r="BT44" i="9"/>
  <c r="BR44" i="9"/>
  <c r="BU44" i="9"/>
  <c r="BU63" i="9"/>
  <c r="BT63" i="9"/>
  <c r="BU59" i="9"/>
  <c r="BT59" i="9"/>
  <c r="BT55" i="9"/>
  <c r="BU55" i="9"/>
  <c r="BT51" i="9"/>
  <c r="BU51" i="9"/>
  <c r="BT47" i="9"/>
  <c r="BR47" i="9"/>
  <c r="BU47" i="9"/>
  <c r="BV44" i="9"/>
  <c r="BW44" i="9"/>
  <c r="BV71" i="9"/>
  <c r="BW71" i="9"/>
  <c r="BV67" i="9"/>
  <c r="BW67" i="9"/>
  <c r="BV63" i="9"/>
  <c r="BW63" i="9"/>
  <c r="BV59" i="9"/>
  <c r="BW59" i="9"/>
  <c r="BV55" i="9"/>
  <c r="BW55" i="9"/>
  <c r="BV51" i="9"/>
  <c r="BW51" i="9"/>
  <c r="BV47" i="9"/>
  <c r="BW47" i="9"/>
  <c r="BS74" i="9"/>
  <c r="BS70" i="9"/>
  <c r="BS66" i="9"/>
  <c r="BS62" i="9"/>
  <c r="BS58" i="9"/>
  <c r="BS54" i="9"/>
  <c r="BS50" i="9"/>
  <c r="BS46" i="9"/>
  <c r="CQ44" i="9"/>
  <c r="CR44" i="9"/>
  <c r="CQ71" i="9"/>
  <c r="CR71" i="9"/>
  <c r="CQ67" i="9"/>
  <c r="CR67" i="9"/>
  <c r="CQ63" i="9"/>
  <c r="CR63" i="9"/>
  <c r="CQ59" i="9"/>
  <c r="CR59" i="9"/>
  <c r="CQ55" i="9"/>
  <c r="CR55" i="9"/>
  <c r="CQ51" i="9"/>
  <c r="CR51" i="9"/>
  <c r="CQ47" i="9"/>
  <c r="CR47" i="9"/>
  <c r="CP58" i="9"/>
  <c r="CO58" i="9"/>
  <c r="CO54" i="9"/>
  <c r="CP54" i="9"/>
  <c r="CO50" i="9"/>
  <c r="CM50" i="9"/>
  <c r="CP50" i="9"/>
  <c r="CO46" i="9"/>
  <c r="CM46" i="9"/>
  <c r="CP46" i="9"/>
  <c r="CQ72" i="9"/>
  <c r="CR72" i="9"/>
  <c r="CQ68" i="9"/>
  <c r="CR68" i="9"/>
  <c r="CQ64" i="9"/>
  <c r="CR64" i="9"/>
  <c r="CQ60" i="9"/>
  <c r="CR60" i="9"/>
  <c r="CQ56" i="9"/>
  <c r="CR56" i="9"/>
  <c r="CQ52" i="9"/>
  <c r="CR52" i="9"/>
  <c r="CQ48" i="9"/>
  <c r="CR48" i="9"/>
  <c r="K108" i="9"/>
  <c r="L108" i="9"/>
  <c r="K104" i="9"/>
  <c r="L104" i="9"/>
  <c r="K100" i="9"/>
  <c r="L100" i="9"/>
  <c r="K96" i="9"/>
  <c r="L96" i="9"/>
  <c r="K92" i="9"/>
  <c r="L92" i="9"/>
  <c r="K88" i="9"/>
  <c r="L88" i="9"/>
  <c r="K84" i="9"/>
  <c r="L84" i="9"/>
  <c r="I80" i="9"/>
  <c r="G80" i="9"/>
  <c r="J80" i="9"/>
  <c r="I107" i="9"/>
  <c r="J107" i="9"/>
  <c r="G107" i="9"/>
  <c r="I103" i="9"/>
  <c r="J103" i="9"/>
  <c r="G103" i="9"/>
  <c r="J99" i="9"/>
  <c r="I99" i="9"/>
  <c r="I95" i="9"/>
  <c r="J95" i="9"/>
  <c r="K80" i="9"/>
  <c r="L80" i="9"/>
  <c r="K107" i="9"/>
  <c r="L107" i="9"/>
  <c r="K103" i="9"/>
  <c r="L103" i="9"/>
  <c r="K99" i="9"/>
  <c r="L99" i="9"/>
  <c r="K95" i="9"/>
  <c r="L95" i="9"/>
  <c r="K91" i="9"/>
  <c r="L91" i="9"/>
  <c r="K87" i="9"/>
  <c r="L87" i="9"/>
  <c r="K83" i="9"/>
  <c r="L83" i="9"/>
  <c r="G99" i="9"/>
  <c r="G95" i="9"/>
  <c r="H108" i="9"/>
  <c r="H104" i="9"/>
  <c r="H100" i="9"/>
  <c r="H96" i="9"/>
  <c r="H92" i="9"/>
  <c r="H88" i="9"/>
  <c r="H84" i="9"/>
  <c r="DL44" i="9"/>
  <c r="DM44" i="9"/>
  <c r="DL71" i="9"/>
  <c r="DM71" i="9"/>
  <c r="DL67" i="9"/>
  <c r="DM67" i="9"/>
  <c r="DL63" i="9"/>
  <c r="DM63" i="9"/>
  <c r="DL59" i="9"/>
  <c r="DM59" i="9"/>
  <c r="DL55" i="9"/>
  <c r="DM55" i="9"/>
  <c r="DL51" i="9"/>
  <c r="DM51" i="9"/>
  <c r="DL47" i="9"/>
  <c r="DM47" i="9"/>
  <c r="DL72" i="9"/>
  <c r="DM72" i="9"/>
  <c r="DL68" i="9"/>
  <c r="DM68" i="9"/>
  <c r="DL64" i="9"/>
  <c r="DM64" i="9"/>
  <c r="DL60" i="9"/>
  <c r="DM60" i="9"/>
  <c r="DL56" i="9"/>
  <c r="DM56" i="9"/>
  <c r="DL52" i="9"/>
  <c r="DM52" i="9"/>
  <c r="DL48" i="9"/>
  <c r="DM48" i="9"/>
  <c r="AF71" i="9"/>
  <c r="AG71" i="9"/>
  <c r="AF67" i="9"/>
  <c r="AG67" i="9"/>
  <c r="AF63" i="9"/>
  <c r="AG63" i="9"/>
  <c r="AF59" i="9"/>
  <c r="AG59" i="9"/>
  <c r="AF55" i="9"/>
  <c r="AG55" i="9"/>
  <c r="AF51" i="9"/>
  <c r="AG51" i="9"/>
  <c r="AF47" i="9"/>
  <c r="AG47" i="9"/>
  <c r="AE64" i="9"/>
  <c r="AD64" i="9"/>
  <c r="AE60" i="9"/>
  <c r="AD60" i="9"/>
  <c r="AD56" i="9"/>
  <c r="AE56" i="9"/>
  <c r="AD52" i="9"/>
  <c r="AE52" i="9"/>
  <c r="AF72" i="9"/>
  <c r="AG72" i="9"/>
  <c r="AF68" i="9"/>
  <c r="AG68" i="9"/>
  <c r="AF64" i="9"/>
  <c r="AG64" i="9"/>
  <c r="AF60" i="9"/>
  <c r="AG60" i="9"/>
  <c r="AF56" i="9"/>
  <c r="AG56" i="9"/>
  <c r="AF52" i="9"/>
  <c r="AG52" i="9"/>
  <c r="AF48" i="9"/>
  <c r="AG48" i="9"/>
  <c r="AF74" i="9"/>
  <c r="AG74" i="9"/>
  <c r="AB64" i="9"/>
  <c r="AB60" i="9"/>
  <c r="AB56" i="9"/>
  <c r="AB52" i="9"/>
  <c r="AC71" i="9"/>
  <c r="AC67" i="9"/>
  <c r="AC63" i="9"/>
  <c r="AC59" i="9"/>
  <c r="AC55" i="9"/>
  <c r="AC51" i="9"/>
  <c r="AC47" i="9"/>
  <c r="AS83" i="9"/>
  <c r="AS89" i="9"/>
  <c r="AS91" i="9"/>
  <c r="AS87" i="9"/>
  <c r="AS85" i="9"/>
  <c r="BB74" i="9"/>
  <c r="BA74" i="9"/>
  <c r="BB70" i="9"/>
  <c r="BA70" i="9"/>
  <c r="BA66" i="9"/>
  <c r="BB66" i="9"/>
  <c r="BA62" i="9"/>
  <c r="BB62" i="9"/>
  <c r="BA58" i="9"/>
  <c r="BB58" i="9"/>
  <c r="BA54" i="9"/>
  <c r="BB54" i="9"/>
  <c r="BA50" i="9"/>
  <c r="BB50" i="9"/>
  <c r="BA46" i="9"/>
  <c r="BB46" i="9"/>
  <c r="AY65" i="9"/>
  <c r="AZ65" i="9"/>
  <c r="AY61" i="9"/>
  <c r="AZ61" i="9"/>
  <c r="AZ57" i="9"/>
  <c r="AY57" i="9"/>
  <c r="AY53" i="9"/>
  <c r="AZ53" i="9"/>
  <c r="AY49" i="9"/>
  <c r="AZ49" i="9"/>
  <c r="AY45" i="9"/>
  <c r="AW45" i="9"/>
  <c r="AZ45" i="9"/>
  <c r="BB73" i="9"/>
  <c r="BA73" i="9"/>
  <c r="BA69" i="9"/>
  <c r="BB69" i="9"/>
  <c r="BA65" i="9"/>
  <c r="BB65" i="9"/>
  <c r="BA61" i="9"/>
  <c r="BB61" i="9"/>
  <c r="BA57" i="9"/>
  <c r="BB57" i="9"/>
  <c r="BA53" i="9"/>
  <c r="BB53" i="9"/>
  <c r="BA49" i="9"/>
  <c r="BB49" i="9"/>
  <c r="BA45" i="9"/>
  <c r="BB45" i="9"/>
  <c r="AW63" i="9"/>
  <c r="AW59" i="9"/>
  <c r="AX74" i="9"/>
  <c r="AX70" i="9"/>
  <c r="AX66" i="9"/>
  <c r="AX62" i="9"/>
  <c r="AX58" i="9"/>
  <c r="AX54" i="9"/>
  <c r="AX50" i="9"/>
  <c r="AX46" i="9"/>
  <c r="BV72" i="9"/>
  <c r="BW72" i="9"/>
  <c r="BV68" i="9"/>
  <c r="BW68" i="9"/>
  <c r="BV64" i="9"/>
  <c r="BW64" i="9"/>
  <c r="BV60" i="9"/>
  <c r="BW60" i="9"/>
  <c r="BV56" i="9"/>
  <c r="BW56" i="9"/>
  <c r="BV52" i="9"/>
  <c r="BW52" i="9"/>
  <c r="BV48" i="9"/>
  <c r="BW48" i="9"/>
  <c r="BU61" i="9"/>
  <c r="BT61" i="9"/>
  <c r="BT57" i="9"/>
  <c r="BU57" i="9"/>
  <c r="BU53" i="9"/>
  <c r="BT53" i="9"/>
  <c r="BV73" i="9"/>
  <c r="BW73" i="9"/>
  <c r="BV69" i="9"/>
  <c r="BW69" i="9"/>
  <c r="BV65" i="9"/>
  <c r="BW65" i="9"/>
  <c r="BV61" i="9"/>
  <c r="BW61" i="9"/>
  <c r="BV57" i="9"/>
  <c r="BW57" i="9"/>
  <c r="BV53" i="9"/>
  <c r="BW53" i="9"/>
  <c r="BV49" i="9"/>
  <c r="BW49" i="9"/>
  <c r="BV45" i="9"/>
  <c r="BW45" i="9"/>
  <c r="BS72" i="9"/>
  <c r="BS68" i="9"/>
  <c r="BS64" i="9"/>
  <c r="BS60" i="9"/>
  <c r="BS56" i="9"/>
  <c r="BS52" i="9"/>
  <c r="BS48" i="9"/>
  <c r="Z82" i="9"/>
  <c r="Z84" i="9"/>
  <c r="AC84" i="9"/>
  <c r="Z86" i="9"/>
  <c r="Z88" i="9"/>
  <c r="AC88" i="9"/>
  <c r="Z90" i="9"/>
  <c r="Z92" i="9"/>
  <c r="AC92" i="9"/>
  <c r="AB92" i="9"/>
  <c r="Z94" i="9"/>
  <c r="Z96" i="9"/>
  <c r="AC96" i="9"/>
  <c r="Z98" i="9"/>
  <c r="Z100" i="9"/>
  <c r="AC100" i="9"/>
  <c r="AB100" i="9"/>
  <c r="Z102" i="9"/>
  <c r="Z104" i="9"/>
  <c r="AC104" i="9"/>
  <c r="Z106" i="9"/>
  <c r="Z108" i="9"/>
  <c r="AC108" i="9"/>
  <c r="Z110" i="9"/>
  <c r="Z81" i="9"/>
  <c r="Z83" i="9"/>
  <c r="Z85" i="9"/>
  <c r="Z87" i="9"/>
  <c r="Z89" i="9"/>
  <c r="Z91" i="9"/>
  <c r="Z93" i="9"/>
  <c r="Z95" i="9"/>
  <c r="Z97" i="9"/>
  <c r="Z99" i="9"/>
  <c r="Z101" i="9"/>
  <c r="Z103" i="9"/>
  <c r="Z105" i="9"/>
  <c r="Z107" i="9"/>
  <c r="Z109" i="9"/>
  <c r="Z80" i="9"/>
  <c r="CR73" i="9"/>
  <c r="CQ73" i="9"/>
  <c r="CQ69" i="9"/>
  <c r="CR69" i="9"/>
  <c r="CQ65" i="9"/>
  <c r="CR65" i="9"/>
  <c r="CQ61" i="9"/>
  <c r="CR61" i="9"/>
  <c r="CQ57" i="9"/>
  <c r="CR57" i="9"/>
  <c r="CQ53" i="9"/>
  <c r="CR53" i="9"/>
  <c r="CQ49" i="9"/>
  <c r="CR49" i="9"/>
  <c r="CQ45" i="9"/>
  <c r="CR45" i="9"/>
  <c r="CO56" i="9"/>
  <c r="CP56" i="9"/>
  <c r="CQ74" i="9"/>
  <c r="CR74" i="9"/>
  <c r="CQ70" i="9"/>
  <c r="CR70" i="9"/>
  <c r="CQ66" i="9"/>
  <c r="CR66" i="9"/>
  <c r="CQ62" i="9"/>
  <c r="CR62" i="9"/>
  <c r="CQ58" i="9"/>
  <c r="CR58" i="9"/>
  <c r="CQ54" i="9"/>
  <c r="CR54" i="9"/>
  <c r="CQ50" i="9"/>
  <c r="CR50" i="9"/>
  <c r="CQ46" i="9"/>
  <c r="CR46" i="9"/>
  <c r="CN44" i="9"/>
  <c r="CN71" i="9"/>
  <c r="CN67" i="9"/>
  <c r="CN63" i="9"/>
  <c r="CN59" i="9"/>
  <c r="CN55" i="9"/>
  <c r="CN51" i="9"/>
  <c r="CN47" i="9"/>
  <c r="L110" i="9"/>
  <c r="K110" i="9"/>
  <c r="K106" i="9"/>
  <c r="L106" i="9"/>
  <c r="K102" i="9"/>
  <c r="L102" i="9"/>
  <c r="K98" i="9"/>
  <c r="L98" i="9"/>
  <c r="K94" i="9"/>
  <c r="L94" i="9"/>
  <c r="K90" i="9"/>
  <c r="L90" i="9"/>
  <c r="K86" i="9"/>
  <c r="L86" i="9"/>
  <c r="K82" i="9"/>
  <c r="L82" i="9"/>
  <c r="J101" i="9"/>
  <c r="G101" i="9"/>
  <c r="I101" i="9"/>
  <c r="J97" i="9"/>
  <c r="I97" i="9"/>
  <c r="I93" i="9"/>
  <c r="J93" i="9"/>
  <c r="I89" i="9"/>
  <c r="J89" i="9"/>
  <c r="J85" i="9"/>
  <c r="I85" i="9"/>
  <c r="G85" i="9"/>
  <c r="I81" i="9"/>
  <c r="G81" i="9"/>
  <c r="J81" i="9"/>
  <c r="K109" i="9"/>
  <c r="L109" i="9"/>
  <c r="K105" i="9"/>
  <c r="L105" i="9"/>
  <c r="K101" i="9"/>
  <c r="L101" i="9"/>
  <c r="K97" i="9"/>
  <c r="L97" i="9"/>
  <c r="K93" i="9"/>
  <c r="L93" i="9"/>
  <c r="K89" i="9"/>
  <c r="L89" i="9"/>
  <c r="K85" i="9"/>
  <c r="L85" i="9"/>
  <c r="K81" i="9"/>
  <c r="L81" i="9"/>
  <c r="G97" i="9"/>
  <c r="G93" i="9"/>
  <c r="G89" i="9"/>
  <c r="H110" i="9"/>
  <c r="H106" i="9"/>
  <c r="H102" i="9"/>
  <c r="H98" i="9"/>
  <c r="H94" i="9"/>
  <c r="H90" i="9"/>
  <c r="H86" i="9"/>
  <c r="H82" i="9"/>
  <c r="DL73" i="9"/>
  <c r="DM73" i="9"/>
  <c r="DL69" i="9"/>
  <c r="DM69" i="9"/>
  <c r="DL65" i="9"/>
  <c r="DM65" i="9"/>
  <c r="DL61" i="9"/>
  <c r="DM61" i="9"/>
  <c r="DL57" i="9"/>
  <c r="DM57" i="9"/>
  <c r="DL53" i="9"/>
  <c r="DM53" i="9"/>
  <c r="DL49" i="9"/>
  <c r="DM49" i="9"/>
  <c r="DL45" i="9"/>
  <c r="DM45" i="9"/>
  <c r="DI44" i="9"/>
  <c r="DI71" i="9"/>
  <c r="DI67" i="9"/>
  <c r="DI63" i="9"/>
  <c r="DI59" i="9"/>
  <c r="DI55" i="9"/>
  <c r="DI51" i="9"/>
  <c r="DI47" i="9"/>
  <c r="DM74" i="9"/>
  <c r="DL74" i="9"/>
  <c r="DL70" i="9"/>
  <c r="DM70" i="9"/>
  <c r="DL66" i="9"/>
  <c r="DM66" i="9"/>
  <c r="DL62" i="9"/>
  <c r="DM62" i="9"/>
  <c r="DL58" i="9"/>
  <c r="DM58" i="9"/>
  <c r="DL54" i="9"/>
  <c r="DM54" i="9"/>
  <c r="DL50" i="9"/>
  <c r="DM50" i="9"/>
  <c r="DL46" i="9"/>
  <c r="DM46" i="9"/>
  <c r="DI72" i="9"/>
  <c r="DI68" i="9"/>
  <c r="DI64" i="9"/>
  <c r="DI60" i="9"/>
  <c r="DI56" i="9"/>
  <c r="DI52" i="9"/>
  <c r="DI48" i="9"/>
  <c r="AF73" i="9"/>
  <c r="AG73" i="9"/>
  <c r="AF69" i="9"/>
  <c r="AG69" i="9"/>
  <c r="AF65" i="9"/>
  <c r="AG65" i="9"/>
  <c r="AF61" i="9"/>
  <c r="AG61" i="9"/>
  <c r="AF57" i="9"/>
  <c r="AG57" i="9"/>
  <c r="AF53" i="9"/>
  <c r="AG53" i="9"/>
  <c r="AF49" i="9"/>
  <c r="AG49" i="9"/>
  <c r="AF45" i="9"/>
  <c r="AG45" i="9"/>
  <c r="AE74" i="9"/>
  <c r="AB74" i="9"/>
  <c r="AD74" i="9"/>
  <c r="AE70" i="9"/>
  <c r="AB70" i="9"/>
  <c r="AD70" i="9"/>
  <c r="AD66" i="9"/>
  <c r="AE66" i="9"/>
  <c r="AE62" i="9"/>
  <c r="AD62" i="9"/>
  <c r="AE58" i="9"/>
  <c r="AD58" i="9"/>
  <c r="AD54" i="9"/>
  <c r="AE54" i="9"/>
  <c r="AE50" i="9"/>
  <c r="AD50" i="9"/>
  <c r="AE46" i="9"/>
  <c r="AD46" i="9"/>
  <c r="AF70" i="9"/>
  <c r="AG70" i="9"/>
  <c r="AF66" i="9"/>
  <c r="AG66" i="9"/>
  <c r="AF62" i="9"/>
  <c r="AG62" i="9"/>
  <c r="AF58" i="9"/>
  <c r="AG58" i="9"/>
  <c r="AF54" i="9"/>
  <c r="AG54" i="9"/>
  <c r="AF50" i="9"/>
  <c r="AG50" i="9"/>
  <c r="AF46" i="9"/>
  <c r="AG46" i="9"/>
  <c r="AF44" i="9"/>
  <c r="AG44" i="9"/>
  <c r="AB66" i="9"/>
  <c r="AB62" i="9"/>
  <c r="AB58" i="9"/>
  <c r="AB54" i="9"/>
  <c r="AB50" i="9"/>
  <c r="AB46" i="9"/>
  <c r="AC73" i="9"/>
  <c r="AC69" i="9"/>
  <c r="AC65" i="9"/>
  <c r="AC61" i="9"/>
  <c r="AC57" i="9"/>
  <c r="AC53" i="9"/>
  <c r="AC49" i="9"/>
  <c r="AC45" i="9"/>
  <c r="L41" i="9"/>
  <c r="BN81" i="9"/>
  <c r="I55" i="9"/>
  <c r="J55" i="9"/>
  <c r="G55" i="9"/>
  <c r="K72" i="9"/>
  <c r="L72" i="9"/>
  <c r="K68" i="9"/>
  <c r="L68" i="9"/>
  <c r="K64" i="9"/>
  <c r="L64" i="9"/>
  <c r="K60" i="9"/>
  <c r="L60" i="9"/>
  <c r="K56" i="9"/>
  <c r="L56" i="9"/>
  <c r="K51" i="9"/>
  <c r="L51" i="9"/>
  <c r="K47" i="9"/>
  <c r="L47" i="9"/>
  <c r="I44" i="9"/>
  <c r="J44" i="9"/>
  <c r="I71" i="9"/>
  <c r="J71" i="9"/>
  <c r="I67" i="9"/>
  <c r="J67" i="9"/>
  <c r="G67" i="9"/>
  <c r="I63" i="9"/>
  <c r="J63" i="9"/>
  <c r="I59" i="9"/>
  <c r="J59" i="9"/>
  <c r="J54" i="9"/>
  <c r="I54" i="9"/>
  <c r="J50" i="9"/>
  <c r="I50" i="9"/>
  <c r="J46" i="9"/>
  <c r="I46" i="9"/>
  <c r="G44" i="9"/>
  <c r="G71" i="9"/>
  <c r="G63" i="9"/>
  <c r="G59" i="9"/>
  <c r="K44" i="9"/>
  <c r="L44" i="9"/>
  <c r="K71" i="9"/>
  <c r="L71" i="9"/>
  <c r="K67" i="9"/>
  <c r="L67" i="9"/>
  <c r="K63" i="9"/>
  <c r="L63" i="9"/>
  <c r="K59" i="9"/>
  <c r="L59" i="9"/>
  <c r="K54" i="9"/>
  <c r="L54" i="9"/>
  <c r="K50" i="9"/>
  <c r="L50" i="9"/>
  <c r="K46" i="9"/>
  <c r="L46" i="9"/>
  <c r="H72" i="9"/>
  <c r="H68" i="9"/>
  <c r="H64" i="9"/>
  <c r="H60" i="9"/>
  <c r="H56" i="9"/>
  <c r="H51" i="9"/>
  <c r="H47" i="9"/>
  <c r="K74" i="9"/>
  <c r="L74" i="9"/>
  <c r="K70" i="9"/>
  <c r="L70" i="9"/>
  <c r="K66" i="9"/>
  <c r="L66" i="9"/>
  <c r="K62" i="9"/>
  <c r="L62" i="9"/>
  <c r="K58" i="9"/>
  <c r="L58" i="9"/>
  <c r="K53" i="9"/>
  <c r="L53" i="9"/>
  <c r="K49" i="9"/>
  <c r="L49" i="9"/>
  <c r="K45" i="9"/>
  <c r="L45" i="9"/>
  <c r="I73" i="9"/>
  <c r="J73" i="9"/>
  <c r="I69" i="9"/>
  <c r="J69" i="9"/>
  <c r="G69" i="9"/>
  <c r="I65" i="9"/>
  <c r="J65" i="9"/>
  <c r="I61" i="9"/>
  <c r="J61" i="9"/>
  <c r="I57" i="9"/>
  <c r="J57" i="9"/>
  <c r="J52" i="9"/>
  <c r="I52" i="9"/>
  <c r="J48" i="9"/>
  <c r="I48" i="9"/>
  <c r="K55" i="9"/>
  <c r="L55" i="9"/>
  <c r="G73" i="9"/>
  <c r="G65" i="9"/>
  <c r="G61" i="9"/>
  <c r="G57" i="9"/>
  <c r="K73" i="9"/>
  <c r="L73" i="9"/>
  <c r="K69" i="9"/>
  <c r="L69" i="9"/>
  <c r="K65" i="9"/>
  <c r="L65" i="9"/>
  <c r="K61" i="9"/>
  <c r="L61" i="9"/>
  <c r="K57" i="9"/>
  <c r="L57" i="9"/>
  <c r="K52" i="9"/>
  <c r="L52" i="9"/>
  <c r="K48" i="9"/>
  <c r="L48" i="9"/>
  <c r="H74" i="9"/>
  <c r="H70" i="9"/>
  <c r="H66" i="9"/>
  <c r="H62" i="9"/>
  <c r="H58" i="9"/>
  <c r="H53" i="9"/>
  <c r="H49" i="9"/>
  <c r="H45" i="9"/>
  <c r="G54" i="9"/>
  <c r="G50" i="9"/>
  <c r="G46"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B1" i="9"/>
  <c r="A1" i="9"/>
  <c r="AN54" i="9"/>
  <c r="AP54" i="9"/>
  <c r="AQ54" i="9"/>
  <c r="AO54" i="9"/>
  <c r="AK54" i="9"/>
  <c r="AN53" i="9"/>
  <c r="AP53" i="9"/>
  <c r="AQ53" i="9"/>
  <c r="AO53" i="9"/>
  <c r="AK53" i="9"/>
  <c r="DT46" i="9"/>
  <c r="DV46" i="9"/>
  <c r="DU46" i="9"/>
  <c r="DW46" i="9"/>
  <c r="DQ46" i="9"/>
  <c r="S81" i="9"/>
  <c r="U81" i="9"/>
  <c r="T81" i="9"/>
  <c r="P81" i="9"/>
  <c r="V81" i="9"/>
  <c r="S82" i="9"/>
  <c r="U82" i="9"/>
  <c r="V82" i="9"/>
  <c r="T82" i="9"/>
  <c r="P82" i="9"/>
  <c r="S90" i="9"/>
  <c r="U90" i="9"/>
  <c r="V90" i="9"/>
  <c r="T90" i="9"/>
  <c r="P90" i="9"/>
  <c r="S98" i="9"/>
  <c r="V98" i="9"/>
  <c r="T98" i="9"/>
  <c r="P98" i="9"/>
  <c r="U98" i="9"/>
  <c r="S106" i="9"/>
  <c r="V106" i="9"/>
  <c r="T106" i="9"/>
  <c r="P106" i="9"/>
  <c r="U106" i="9"/>
  <c r="CY53" i="9"/>
  <c r="DB53" i="9"/>
  <c r="CV53" i="9"/>
  <c r="CZ53" i="9"/>
  <c r="DA53" i="9"/>
  <c r="CD53" i="9"/>
  <c r="CG53" i="9"/>
  <c r="CA53" i="9"/>
  <c r="CE53" i="9"/>
  <c r="CF53" i="9"/>
  <c r="CD61" i="9"/>
  <c r="CG61" i="9"/>
  <c r="CA61" i="9"/>
  <c r="CE61" i="9"/>
  <c r="CF61" i="9"/>
  <c r="CD69" i="9"/>
  <c r="CG69" i="9"/>
  <c r="CA69" i="9"/>
  <c r="CE69" i="9"/>
  <c r="CF69" i="9"/>
  <c r="CD52" i="9"/>
  <c r="CF52" i="9"/>
  <c r="CE52" i="9"/>
  <c r="CA52" i="9"/>
  <c r="CG52" i="9"/>
  <c r="CD60" i="9"/>
  <c r="CE60" i="9"/>
  <c r="CA60" i="9"/>
  <c r="CG60" i="9"/>
  <c r="CF60" i="9"/>
  <c r="CD68" i="9"/>
  <c r="CE68" i="9"/>
  <c r="CA68" i="9"/>
  <c r="CG68" i="9"/>
  <c r="CF68" i="9"/>
  <c r="BI53" i="9"/>
  <c r="BK53" i="9"/>
  <c r="BF53" i="9"/>
  <c r="BL53" i="9"/>
  <c r="BJ53" i="9"/>
  <c r="BI57" i="9"/>
  <c r="BF57" i="9"/>
  <c r="BL57" i="9"/>
  <c r="BJ57" i="9"/>
  <c r="BK57" i="9"/>
  <c r="BI61" i="9"/>
  <c r="BF61" i="9"/>
  <c r="BL61" i="9"/>
  <c r="BJ61" i="9"/>
  <c r="BK61" i="9"/>
  <c r="BI46" i="9"/>
  <c r="BK46" i="9"/>
  <c r="BL46" i="9"/>
  <c r="BF46" i="9"/>
  <c r="BJ46" i="9"/>
  <c r="BI54" i="9"/>
  <c r="BK54" i="9"/>
  <c r="BL54" i="9"/>
  <c r="BF54" i="9"/>
  <c r="BJ54" i="9"/>
  <c r="BI62" i="9"/>
  <c r="BL62" i="9"/>
  <c r="BF62" i="9"/>
  <c r="BJ62" i="9"/>
  <c r="BK62" i="9"/>
  <c r="AN48" i="9"/>
  <c r="AO48" i="9"/>
  <c r="AK48" i="9"/>
  <c r="AQ48" i="9"/>
  <c r="AP48" i="9"/>
  <c r="AN64" i="9"/>
  <c r="AP64" i="9"/>
  <c r="AO64" i="9"/>
  <c r="AK64" i="9"/>
  <c r="AQ64" i="9"/>
  <c r="AN47" i="9"/>
  <c r="AQ47" i="9"/>
  <c r="AO47" i="9"/>
  <c r="AK47" i="9"/>
  <c r="AP47" i="9"/>
  <c r="AN55" i="9"/>
  <c r="AQ55" i="9"/>
  <c r="AO55" i="9"/>
  <c r="AK55" i="9"/>
  <c r="AP55" i="9"/>
  <c r="AN63" i="9"/>
  <c r="AP63" i="9"/>
  <c r="AQ63" i="9"/>
  <c r="AO63" i="9"/>
  <c r="AK63" i="9"/>
  <c r="DT48" i="9"/>
  <c r="DW48" i="9"/>
  <c r="DQ48" i="9"/>
  <c r="DU48" i="9"/>
  <c r="DV48" i="9"/>
  <c r="DT56" i="9"/>
  <c r="DW56" i="9"/>
  <c r="DQ56" i="9"/>
  <c r="DU56" i="9"/>
  <c r="DV56" i="9"/>
  <c r="DT64" i="9"/>
  <c r="DW64" i="9"/>
  <c r="DQ64" i="9"/>
  <c r="DU64" i="9"/>
  <c r="DV64" i="9"/>
  <c r="S87" i="9"/>
  <c r="U87" i="9"/>
  <c r="T87" i="9"/>
  <c r="P87" i="9"/>
  <c r="V87" i="9"/>
  <c r="S95" i="9"/>
  <c r="T95" i="9"/>
  <c r="P95" i="9"/>
  <c r="V95" i="9"/>
  <c r="U95" i="9"/>
  <c r="U80" i="9"/>
  <c r="S80" i="9"/>
  <c r="V80" i="9"/>
  <c r="T80" i="9"/>
  <c r="P80" i="9"/>
  <c r="S84" i="9"/>
  <c r="T84" i="9"/>
  <c r="P84" i="9"/>
  <c r="U84" i="9"/>
  <c r="V84" i="9"/>
  <c r="S92" i="9"/>
  <c r="T92" i="9"/>
  <c r="P92" i="9"/>
  <c r="U92" i="9"/>
  <c r="V92" i="9"/>
  <c r="S100" i="9"/>
  <c r="T100" i="9"/>
  <c r="P100" i="9"/>
  <c r="U100" i="9"/>
  <c r="V100" i="9"/>
  <c r="CY48" i="9"/>
  <c r="CZ48" i="9"/>
  <c r="DB48" i="9"/>
  <c r="CV48" i="9"/>
  <c r="DA48" i="9"/>
  <c r="CY56" i="9"/>
  <c r="CZ56" i="9"/>
  <c r="DB56" i="9"/>
  <c r="CV56" i="9"/>
  <c r="DA56" i="9"/>
  <c r="CY64" i="9"/>
  <c r="DB64" i="9"/>
  <c r="CZ64" i="9"/>
  <c r="CV64" i="9"/>
  <c r="DA64" i="9"/>
  <c r="CY47" i="9"/>
  <c r="CZ47" i="9"/>
  <c r="DB47" i="9"/>
  <c r="CV47" i="9"/>
  <c r="DA47" i="9"/>
  <c r="CY55" i="9"/>
  <c r="CZ55" i="9"/>
  <c r="DB55" i="9"/>
  <c r="CV55" i="9"/>
  <c r="DA55" i="9"/>
  <c r="CY63" i="9"/>
  <c r="DB63" i="9"/>
  <c r="CZ63" i="9"/>
  <c r="CV63" i="9"/>
  <c r="DA63" i="9"/>
  <c r="CY44" i="9"/>
  <c r="DB44" i="9"/>
  <c r="CZ44" i="9"/>
  <c r="CV44" i="9"/>
  <c r="DA44" i="9"/>
  <c r="CD55" i="9"/>
  <c r="CF55" i="9"/>
  <c r="CE55" i="9"/>
  <c r="CG55" i="9"/>
  <c r="CA55" i="9"/>
  <c r="BI51" i="9"/>
  <c r="BL51" i="9"/>
  <c r="BJ51" i="9"/>
  <c r="BF51" i="9"/>
  <c r="BK51" i="9"/>
  <c r="BI59" i="9"/>
  <c r="BL59" i="9"/>
  <c r="BJ59" i="9"/>
  <c r="BF59" i="9"/>
  <c r="BK59" i="9"/>
  <c r="BI67" i="9"/>
  <c r="BL67" i="9"/>
  <c r="BJ67" i="9"/>
  <c r="BF67" i="9"/>
  <c r="BK67" i="9"/>
  <c r="BI52" i="9"/>
  <c r="BF52" i="9"/>
  <c r="BJ52" i="9"/>
  <c r="BL52" i="9"/>
  <c r="BK52" i="9"/>
  <c r="BI60" i="9"/>
  <c r="BF60" i="9"/>
  <c r="BJ60" i="9"/>
  <c r="BL60" i="9"/>
  <c r="BK60" i="9"/>
  <c r="BI68" i="9"/>
  <c r="BF68" i="9"/>
  <c r="BJ68" i="9"/>
  <c r="BL68" i="9"/>
  <c r="BK68" i="9"/>
  <c r="AN66" i="9"/>
  <c r="AP66" i="9"/>
  <c r="AQ66" i="9"/>
  <c r="AO66" i="9"/>
  <c r="AK66" i="9"/>
  <c r="DT58" i="9"/>
  <c r="DU58" i="9"/>
  <c r="DV58" i="9"/>
  <c r="DW58" i="9"/>
  <c r="DQ58" i="9"/>
  <c r="S86" i="9"/>
  <c r="U86" i="9"/>
  <c r="V86" i="9"/>
  <c r="T86" i="9"/>
  <c r="P86" i="9"/>
  <c r="S94" i="9"/>
  <c r="V94" i="9"/>
  <c r="T94" i="9"/>
  <c r="P94" i="9"/>
  <c r="U94" i="9"/>
  <c r="S102" i="9"/>
  <c r="V102" i="9"/>
  <c r="T102" i="9"/>
  <c r="P102" i="9"/>
  <c r="U102" i="9"/>
  <c r="CY45" i="9"/>
  <c r="DB45" i="9"/>
  <c r="CZ45" i="9"/>
  <c r="CV45" i="9"/>
  <c r="DA45" i="9"/>
  <c r="CD57" i="9"/>
  <c r="CF57" i="9"/>
  <c r="CG57" i="9"/>
  <c r="CA57" i="9"/>
  <c r="CE57" i="9"/>
  <c r="CD65" i="9"/>
  <c r="CG65" i="9"/>
  <c r="CA65" i="9"/>
  <c r="CE65" i="9"/>
  <c r="CF65" i="9"/>
  <c r="CD48" i="9"/>
  <c r="CF48" i="9"/>
  <c r="CE48" i="9"/>
  <c r="CA48" i="9"/>
  <c r="CG48" i="9"/>
  <c r="CD56" i="9"/>
  <c r="CF56" i="9"/>
  <c r="CE56" i="9"/>
  <c r="CA56" i="9"/>
  <c r="CG56" i="9"/>
  <c r="CD64" i="9"/>
  <c r="CE64" i="9"/>
  <c r="CA64" i="9"/>
  <c r="CG64" i="9"/>
  <c r="CF64" i="9"/>
  <c r="BI49" i="9"/>
  <c r="BK49" i="9"/>
  <c r="BF49" i="9"/>
  <c r="BL49" i="9"/>
  <c r="BJ49" i="9"/>
  <c r="BI65" i="9"/>
  <c r="BF65" i="9"/>
  <c r="BL65" i="9"/>
  <c r="BJ65" i="9"/>
  <c r="BK65" i="9"/>
  <c r="BI50" i="9"/>
  <c r="BK50" i="9"/>
  <c r="BL50" i="9"/>
  <c r="BF50" i="9"/>
  <c r="BJ50" i="9"/>
  <c r="BI58" i="9"/>
  <c r="BL58" i="9"/>
  <c r="BF58" i="9"/>
  <c r="BJ58" i="9"/>
  <c r="BK58" i="9"/>
  <c r="BI66" i="9"/>
  <c r="BL66" i="9"/>
  <c r="BF66" i="9"/>
  <c r="BJ66" i="9"/>
  <c r="BK66" i="9"/>
  <c r="AN56" i="9"/>
  <c r="AO56" i="9"/>
  <c r="AK56" i="9"/>
  <c r="AQ56" i="9"/>
  <c r="AP56" i="9"/>
  <c r="AN68" i="9"/>
  <c r="AO68" i="9"/>
  <c r="AK68" i="9"/>
  <c r="AQ68" i="9"/>
  <c r="AP68" i="9"/>
  <c r="AN51" i="9"/>
  <c r="AQ51" i="9"/>
  <c r="AO51" i="9"/>
  <c r="AK51" i="9"/>
  <c r="AP51" i="9"/>
  <c r="AN59" i="9"/>
  <c r="AP59" i="9"/>
  <c r="AQ59" i="9"/>
  <c r="AO59" i="9"/>
  <c r="AK59" i="9"/>
  <c r="AN67" i="9"/>
  <c r="AQ67" i="9"/>
  <c r="AO67" i="9"/>
  <c r="AK67" i="9"/>
  <c r="AP67" i="9"/>
  <c r="DT52" i="9"/>
  <c r="DW52" i="9"/>
  <c r="DQ52" i="9"/>
  <c r="DU52" i="9"/>
  <c r="DV52" i="9"/>
  <c r="DT60" i="9"/>
  <c r="DW60" i="9"/>
  <c r="DQ60" i="9"/>
  <c r="DU60" i="9"/>
  <c r="DV60" i="9"/>
  <c r="DT44" i="9"/>
  <c r="DQ44" i="9"/>
  <c r="DW44" i="9"/>
  <c r="DU44" i="9"/>
  <c r="DV44" i="9"/>
  <c r="S83" i="9"/>
  <c r="T83" i="9"/>
  <c r="P83" i="9"/>
  <c r="V83" i="9"/>
  <c r="U83" i="9"/>
  <c r="S91" i="9"/>
  <c r="U91" i="9"/>
  <c r="T91" i="9"/>
  <c r="P91" i="9"/>
  <c r="V91" i="9"/>
  <c r="S88" i="9"/>
  <c r="T88" i="9"/>
  <c r="P88" i="9"/>
  <c r="V88" i="9"/>
  <c r="U88" i="9"/>
  <c r="S96" i="9"/>
  <c r="T96" i="9"/>
  <c r="P96" i="9"/>
  <c r="U96" i="9"/>
  <c r="V96" i="9"/>
  <c r="S104" i="9"/>
  <c r="T104" i="9"/>
  <c r="P104" i="9"/>
  <c r="V104" i="9"/>
  <c r="U104" i="9"/>
  <c r="CY52" i="9"/>
  <c r="CZ52" i="9"/>
  <c r="DB52" i="9"/>
  <c r="CV52" i="9"/>
  <c r="DA52" i="9"/>
  <c r="CY60" i="9"/>
  <c r="DB60" i="9"/>
  <c r="CZ60" i="9"/>
  <c r="CV60" i="9"/>
  <c r="DA60" i="9"/>
  <c r="CY68" i="9"/>
  <c r="DB68" i="9"/>
  <c r="CZ68" i="9"/>
  <c r="CV68" i="9"/>
  <c r="DA68" i="9"/>
  <c r="CY51" i="9"/>
  <c r="CZ51" i="9"/>
  <c r="DB51" i="9"/>
  <c r="CV51" i="9"/>
  <c r="DA51" i="9"/>
  <c r="CY59" i="9"/>
  <c r="CZ59" i="9"/>
  <c r="DB59" i="9"/>
  <c r="CV59" i="9"/>
  <c r="DA59" i="9"/>
  <c r="CY67" i="9"/>
  <c r="DB67" i="9"/>
  <c r="CZ67" i="9"/>
  <c r="CV67" i="9"/>
  <c r="DA67" i="9"/>
  <c r="CD47" i="9"/>
  <c r="CF47" i="9"/>
  <c r="CE47" i="9"/>
  <c r="CG47" i="9"/>
  <c r="CA47" i="9"/>
  <c r="CD51" i="9"/>
  <c r="CF51" i="9"/>
  <c r="CE51" i="9"/>
  <c r="CG51" i="9"/>
  <c r="CA51" i="9"/>
  <c r="BI47" i="9"/>
  <c r="BL47" i="9"/>
  <c r="BJ47" i="9"/>
  <c r="BF47" i="9"/>
  <c r="BK47" i="9"/>
  <c r="BI55" i="9"/>
  <c r="BL55" i="9"/>
  <c r="BJ55" i="9"/>
  <c r="BF55" i="9"/>
  <c r="BK55" i="9"/>
  <c r="BI63" i="9"/>
  <c r="BL63" i="9"/>
  <c r="BJ63" i="9"/>
  <c r="BF63" i="9"/>
  <c r="BK63" i="9"/>
  <c r="BI48" i="9"/>
  <c r="BF48" i="9"/>
  <c r="BJ48" i="9"/>
  <c r="BL48" i="9"/>
  <c r="BK48" i="9"/>
  <c r="BI56" i="9"/>
  <c r="BF56" i="9"/>
  <c r="BJ56" i="9"/>
  <c r="BL56" i="9"/>
  <c r="BK56" i="9"/>
  <c r="BI64" i="9"/>
  <c r="BF64" i="9"/>
  <c r="BJ64" i="9"/>
  <c r="BL64" i="9"/>
  <c r="BK64" i="9"/>
  <c r="BN83" i="9"/>
  <c r="BN89" i="9"/>
  <c r="BN91" i="9"/>
  <c r="BN87" i="9"/>
  <c r="BN85" i="9"/>
  <c r="AD53" i="9"/>
  <c r="AE53" i="9"/>
  <c r="AB53" i="9"/>
  <c r="AD69" i="9"/>
  <c r="AE69" i="9"/>
  <c r="AB69" i="9"/>
  <c r="AN46" i="9"/>
  <c r="AP46" i="9"/>
  <c r="AQ46" i="9"/>
  <c r="AO46" i="9"/>
  <c r="AK46" i="9"/>
  <c r="AN62" i="9"/>
  <c r="AP62" i="9"/>
  <c r="AQ62" i="9"/>
  <c r="AO62" i="9"/>
  <c r="AK62" i="9"/>
  <c r="AN70" i="9"/>
  <c r="AQ70" i="9"/>
  <c r="AO70" i="9"/>
  <c r="AK70" i="9"/>
  <c r="AP70" i="9"/>
  <c r="AN49" i="9"/>
  <c r="AP49" i="9"/>
  <c r="AQ49" i="9"/>
  <c r="AO49" i="9"/>
  <c r="AK49" i="9"/>
  <c r="AN61" i="9"/>
  <c r="AP61" i="9"/>
  <c r="AQ61" i="9"/>
  <c r="AO61" i="9"/>
  <c r="AK61" i="9"/>
  <c r="AN65" i="9"/>
  <c r="AP65" i="9"/>
  <c r="AQ65" i="9"/>
  <c r="AO65" i="9"/>
  <c r="AK65" i="9"/>
  <c r="DH52" i="9"/>
  <c r="DJ52" i="9"/>
  <c r="DK52" i="9"/>
  <c r="DJ68" i="9"/>
  <c r="DK68" i="9"/>
  <c r="DH68" i="9"/>
  <c r="DT50" i="9"/>
  <c r="DV50" i="9"/>
  <c r="DU50" i="9"/>
  <c r="DW50" i="9"/>
  <c r="DQ50" i="9"/>
  <c r="DT54" i="9"/>
  <c r="DV54" i="9"/>
  <c r="DU54" i="9"/>
  <c r="DW54" i="9"/>
  <c r="DQ54" i="9"/>
  <c r="DT62" i="9"/>
  <c r="DU62" i="9"/>
  <c r="DV62" i="9"/>
  <c r="DW62" i="9"/>
  <c r="DQ62" i="9"/>
  <c r="DT66" i="9"/>
  <c r="DV66" i="9"/>
  <c r="DU66" i="9"/>
  <c r="DW66" i="9"/>
  <c r="DQ66" i="9"/>
  <c r="DT74" i="9"/>
  <c r="DV74" i="9"/>
  <c r="DU74" i="9"/>
  <c r="DW74" i="9"/>
  <c r="DQ74" i="9"/>
  <c r="DH59" i="9"/>
  <c r="DK59" i="9"/>
  <c r="DJ59" i="9"/>
  <c r="DJ44" i="9"/>
  <c r="DH44" i="9"/>
  <c r="DK44" i="9"/>
  <c r="DT49" i="9"/>
  <c r="DV49" i="9"/>
  <c r="DW49" i="9"/>
  <c r="DU49" i="9"/>
  <c r="DQ49" i="9"/>
  <c r="DT57" i="9"/>
  <c r="DW57" i="9"/>
  <c r="DU57" i="9"/>
  <c r="DQ57" i="9"/>
  <c r="DV57" i="9"/>
  <c r="DT65" i="9"/>
  <c r="DW65" i="9"/>
  <c r="DU65" i="9"/>
  <c r="DV65" i="9"/>
  <c r="DQ65" i="9"/>
  <c r="DT69" i="9"/>
  <c r="DV69" i="9"/>
  <c r="DW69" i="9"/>
  <c r="DU69" i="9"/>
  <c r="DQ69" i="9"/>
  <c r="DT73" i="9"/>
  <c r="DV73" i="9"/>
  <c r="DW73" i="9"/>
  <c r="DU73" i="9"/>
  <c r="DQ73" i="9"/>
  <c r="J94" i="9"/>
  <c r="G94" i="9"/>
  <c r="I94" i="9"/>
  <c r="I110" i="9"/>
  <c r="J110" i="9"/>
  <c r="G110" i="9"/>
  <c r="S89" i="9"/>
  <c r="U89" i="9"/>
  <c r="T89" i="9"/>
  <c r="P89" i="9"/>
  <c r="V89" i="9"/>
  <c r="S93" i="9"/>
  <c r="T93" i="9"/>
  <c r="P93" i="9"/>
  <c r="V93" i="9"/>
  <c r="U93" i="9"/>
  <c r="S105" i="9"/>
  <c r="T105" i="9"/>
  <c r="P105" i="9"/>
  <c r="V105" i="9"/>
  <c r="U105" i="9"/>
  <c r="S109" i="9"/>
  <c r="T109" i="9"/>
  <c r="P109" i="9"/>
  <c r="V109" i="9"/>
  <c r="U109" i="9"/>
  <c r="CM55" i="9"/>
  <c r="CO55" i="9"/>
  <c r="CP55" i="9"/>
  <c r="CP71" i="9"/>
  <c r="CM71" i="9"/>
  <c r="CO71" i="9"/>
  <c r="CY54" i="9"/>
  <c r="CV54" i="9"/>
  <c r="CZ54" i="9"/>
  <c r="DB54" i="9"/>
  <c r="DA54" i="9"/>
  <c r="CY58" i="9"/>
  <c r="CV58" i="9"/>
  <c r="CZ58" i="9"/>
  <c r="DB58" i="9"/>
  <c r="DA58" i="9"/>
  <c r="CY62" i="9"/>
  <c r="CV62" i="9"/>
  <c r="DB62" i="9"/>
  <c r="CZ62" i="9"/>
  <c r="DA62" i="9"/>
  <c r="CY66" i="9"/>
  <c r="CV66" i="9"/>
  <c r="DB66" i="9"/>
  <c r="CZ66" i="9"/>
  <c r="DA66" i="9"/>
  <c r="CY70" i="9"/>
  <c r="CV70" i="9"/>
  <c r="DB70" i="9"/>
  <c r="CZ70" i="9"/>
  <c r="DA70" i="9"/>
  <c r="CY74" i="9"/>
  <c r="CV74" i="9"/>
  <c r="DB74" i="9"/>
  <c r="CZ74" i="9"/>
  <c r="DA74" i="9"/>
  <c r="CY49" i="9"/>
  <c r="DB49" i="9"/>
  <c r="CV49" i="9"/>
  <c r="DA49" i="9"/>
  <c r="CZ49" i="9"/>
  <c r="CY57" i="9"/>
  <c r="DB57" i="9"/>
  <c r="CV57" i="9"/>
  <c r="CZ57" i="9"/>
  <c r="DA57" i="9"/>
  <c r="CY61" i="9"/>
  <c r="DB61" i="9"/>
  <c r="CZ61" i="9"/>
  <c r="CV61" i="9"/>
  <c r="DA61" i="9"/>
  <c r="CY65" i="9"/>
  <c r="DB65" i="9"/>
  <c r="CZ65" i="9"/>
  <c r="CV65" i="9"/>
  <c r="DA65" i="9"/>
  <c r="CY69" i="9"/>
  <c r="DB69" i="9"/>
  <c r="CZ69" i="9"/>
  <c r="CV69" i="9"/>
  <c r="DA69" i="9"/>
  <c r="CY73" i="9"/>
  <c r="DB73" i="9"/>
  <c r="CZ73" i="9"/>
  <c r="CV73" i="9"/>
  <c r="DA73" i="9"/>
  <c r="AF80" i="9"/>
  <c r="AG80" i="9"/>
  <c r="AF107" i="9"/>
  <c r="AG107" i="9"/>
  <c r="AF103" i="9"/>
  <c r="AG103" i="9"/>
  <c r="AF99" i="9"/>
  <c r="AG99" i="9"/>
  <c r="AF95" i="9"/>
  <c r="AG95" i="9"/>
  <c r="AF91" i="9"/>
  <c r="AG91" i="9"/>
  <c r="AF87" i="9"/>
  <c r="AG87" i="9"/>
  <c r="AF83" i="9"/>
  <c r="AG83" i="9"/>
  <c r="AC80" i="9"/>
  <c r="AC107" i="9"/>
  <c r="AC103" i="9"/>
  <c r="AC99" i="9"/>
  <c r="AC95" i="9"/>
  <c r="AC91" i="9"/>
  <c r="AC87" i="9"/>
  <c r="AC83" i="9"/>
  <c r="AG110" i="9"/>
  <c r="AF110" i="9"/>
  <c r="AF106" i="9"/>
  <c r="AG106" i="9"/>
  <c r="AF102" i="9"/>
  <c r="AG102" i="9"/>
  <c r="AF98" i="9"/>
  <c r="AG98" i="9"/>
  <c r="AF94" i="9"/>
  <c r="AG94" i="9"/>
  <c r="AF90" i="9"/>
  <c r="AG90" i="9"/>
  <c r="AF86" i="9"/>
  <c r="AG86" i="9"/>
  <c r="AF82" i="9"/>
  <c r="AG82" i="9"/>
  <c r="AE108" i="9"/>
  <c r="AB108" i="9"/>
  <c r="AD108" i="9"/>
  <c r="AD104" i="9"/>
  <c r="AE104" i="9"/>
  <c r="AB104" i="9"/>
  <c r="AD100" i="9"/>
  <c r="AE100" i="9"/>
  <c r="AD96" i="9"/>
  <c r="AE96" i="9"/>
  <c r="AE92" i="9"/>
  <c r="AD92" i="9"/>
  <c r="AE88" i="9"/>
  <c r="AD88" i="9"/>
  <c r="AE84" i="9"/>
  <c r="AD84" i="9"/>
  <c r="AB84" i="9"/>
  <c r="BT48" i="9"/>
  <c r="BU48" i="9"/>
  <c r="BR48" i="9"/>
  <c r="BT56" i="9"/>
  <c r="BU56" i="9"/>
  <c r="BR56" i="9"/>
  <c r="BT64" i="9"/>
  <c r="BU64" i="9"/>
  <c r="BR64" i="9"/>
  <c r="BT72" i="9"/>
  <c r="BU72" i="9"/>
  <c r="BR72" i="9"/>
  <c r="CD45" i="9"/>
  <c r="CG45" i="9"/>
  <c r="CA45" i="9"/>
  <c r="CE45" i="9"/>
  <c r="CF45" i="9"/>
  <c r="CD49" i="9"/>
  <c r="CG49" i="9"/>
  <c r="CA49" i="9"/>
  <c r="CE49" i="9"/>
  <c r="CF49" i="9"/>
  <c r="AY46" i="9"/>
  <c r="AZ46" i="9"/>
  <c r="AW46" i="9"/>
  <c r="AY54" i="9"/>
  <c r="AZ54" i="9"/>
  <c r="AW54" i="9"/>
  <c r="AW62" i="9"/>
  <c r="AZ62" i="9"/>
  <c r="AY62" i="9"/>
  <c r="AZ70" i="9"/>
  <c r="AW70" i="9"/>
  <c r="AY70" i="9"/>
  <c r="AU81" i="9"/>
  <c r="AU83" i="9"/>
  <c r="AU85" i="9"/>
  <c r="AU87" i="9"/>
  <c r="AU89" i="9"/>
  <c r="AU91" i="9"/>
  <c r="AU93" i="9"/>
  <c r="AU95" i="9"/>
  <c r="AU97" i="9"/>
  <c r="AU99" i="9"/>
  <c r="AU101" i="9"/>
  <c r="AU103" i="9"/>
  <c r="AU105" i="9"/>
  <c r="AU107" i="9"/>
  <c r="AU109" i="9"/>
  <c r="AU80" i="9"/>
  <c r="AX101" i="9"/>
  <c r="AX103" i="9"/>
  <c r="AX105" i="9"/>
  <c r="AX107" i="9"/>
  <c r="AX109" i="9"/>
  <c r="AX80" i="9"/>
  <c r="AW101" i="9"/>
  <c r="AU82" i="9"/>
  <c r="AU84" i="9"/>
  <c r="AU86" i="9"/>
  <c r="AU88" i="9"/>
  <c r="AU90" i="9"/>
  <c r="AU92" i="9"/>
  <c r="AU94" i="9"/>
  <c r="AU96" i="9"/>
  <c r="AU98" i="9"/>
  <c r="AU100" i="9"/>
  <c r="AU102" i="9"/>
  <c r="AX102" i="9"/>
  <c r="AU104" i="9"/>
  <c r="AU106" i="9"/>
  <c r="AX106" i="9"/>
  <c r="AU108" i="9"/>
  <c r="AU110" i="9"/>
  <c r="AX110" i="9"/>
  <c r="AB51" i="9"/>
  <c r="AE51" i="9"/>
  <c r="AD51" i="9"/>
  <c r="AD59" i="9"/>
  <c r="AE59" i="9"/>
  <c r="AB59" i="9"/>
  <c r="AD67" i="9"/>
  <c r="AE67" i="9"/>
  <c r="AB67" i="9"/>
  <c r="AN52" i="9"/>
  <c r="AO52" i="9"/>
  <c r="AK52" i="9"/>
  <c r="AQ52" i="9"/>
  <c r="AP52" i="9"/>
  <c r="AN60" i="9"/>
  <c r="AP60" i="9"/>
  <c r="AO60" i="9"/>
  <c r="AK60" i="9"/>
  <c r="AQ60" i="9"/>
  <c r="AN72" i="9"/>
  <c r="AO72" i="9"/>
  <c r="AK72" i="9"/>
  <c r="AQ72" i="9"/>
  <c r="AP72" i="9"/>
  <c r="DT68" i="9"/>
  <c r="DV68" i="9"/>
  <c r="DW68" i="9"/>
  <c r="DQ68" i="9"/>
  <c r="DU68" i="9"/>
  <c r="DT72" i="9"/>
  <c r="DV72" i="9"/>
  <c r="DW72" i="9"/>
  <c r="DQ72" i="9"/>
  <c r="DU72" i="9"/>
  <c r="DT47" i="9"/>
  <c r="DQ47" i="9"/>
  <c r="DW47" i="9"/>
  <c r="DU47" i="9"/>
  <c r="DV47" i="9"/>
  <c r="DT51" i="9"/>
  <c r="DQ51" i="9"/>
  <c r="DV51" i="9"/>
  <c r="DW51" i="9"/>
  <c r="DU51" i="9"/>
  <c r="DT55" i="9"/>
  <c r="DQ55" i="9"/>
  <c r="DV55" i="9"/>
  <c r="DW55" i="9"/>
  <c r="DU55" i="9"/>
  <c r="DT59" i="9"/>
  <c r="DQ59" i="9"/>
  <c r="DV59" i="9"/>
  <c r="DW59" i="9"/>
  <c r="DU59" i="9"/>
  <c r="DT63" i="9"/>
  <c r="DQ63" i="9"/>
  <c r="DW63" i="9"/>
  <c r="DU63" i="9"/>
  <c r="DV63" i="9"/>
  <c r="DT67" i="9"/>
  <c r="DV67" i="9"/>
  <c r="DQ67" i="9"/>
  <c r="DW67" i="9"/>
  <c r="DU67" i="9"/>
  <c r="DT71" i="9"/>
  <c r="DV71" i="9"/>
  <c r="DQ71" i="9"/>
  <c r="DW71" i="9"/>
  <c r="DU71" i="9"/>
  <c r="G88" i="9"/>
  <c r="J88" i="9"/>
  <c r="I88" i="9"/>
  <c r="G96" i="9"/>
  <c r="J96" i="9"/>
  <c r="I96" i="9"/>
  <c r="I104" i="9"/>
  <c r="J104" i="9"/>
  <c r="G104" i="9"/>
  <c r="S99" i="9"/>
  <c r="T99" i="9"/>
  <c r="P99" i="9"/>
  <c r="V99" i="9"/>
  <c r="U99" i="9"/>
  <c r="S103" i="9"/>
  <c r="U103" i="9"/>
  <c r="T103" i="9"/>
  <c r="P103" i="9"/>
  <c r="V103" i="9"/>
  <c r="S107" i="9"/>
  <c r="T107" i="9"/>
  <c r="P107" i="9"/>
  <c r="V107" i="9"/>
  <c r="U107" i="9"/>
  <c r="BR50" i="9"/>
  <c r="BT50" i="9"/>
  <c r="BU50" i="9"/>
  <c r="BT58" i="9"/>
  <c r="BU58" i="9"/>
  <c r="BR58" i="9"/>
  <c r="BT66" i="9"/>
  <c r="BU66" i="9"/>
  <c r="BR66" i="9"/>
  <c r="BT74" i="9"/>
  <c r="BU74" i="9"/>
  <c r="BR74" i="9"/>
  <c r="CD59" i="9"/>
  <c r="CE59" i="9"/>
  <c r="CG59" i="9"/>
  <c r="CA59" i="9"/>
  <c r="CF59" i="9"/>
  <c r="CD63" i="9"/>
  <c r="CE63" i="9"/>
  <c r="CG63" i="9"/>
  <c r="CA63" i="9"/>
  <c r="CF63" i="9"/>
  <c r="CD67" i="9"/>
  <c r="CE67" i="9"/>
  <c r="CG67" i="9"/>
  <c r="CA67" i="9"/>
  <c r="CF67" i="9"/>
  <c r="CD71" i="9"/>
  <c r="CE71" i="9"/>
  <c r="CG71" i="9"/>
  <c r="CA71" i="9"/>
  <c r="CF71" i="9"/>
  <c r="CD46" i="9"/>
  <c r="CE46" i="9"/>
  <c r="CA46" i="9"/>
  <c r="CG46" i="9"/>
  <c r="CF46" i="9"/>
  <c r="CD50" i="9"/>
  <c r="CE50" i="9"/>
  <c r="CA50" i="9"/>
  <c r="CG50" i="9"/>
  <c r="CF50" i="9"/>
  <c r="CD54" i="9"/>
  <c r="CE54" i="9"/>
  <c r="CA54" i="9"/>
  <c r="CG54" i="9"/>
  <c r="CF54" i="9"/>
  <c r="CD58" i="9"/>
  <c r="CE58" i="9"/>
  <c r="CA58" i="9"/>
  <c r="CG58" i="9"/>
  <c r="CF58" i="9"/>
  <c r="CD62" i="9"/>
  <c r="CE62" i="9"/>
  <c r="CA62" i="9"/>
  <c r="CG62" i="9"/>
  <c r="CF62" i="9"/>
  <c r="CD66" i="9"/>
  <c r="CE66" i="9"/>
  <c r="CA66" i="9"/>
  <c r="CG66" i="9"/>
  <c r="CF66" i="9"/>
  <c r="CD70" i="9"/>
  <c r="CE70" i="9"/>
  <c r="CA70" i="9"/>
  <c r="CG70" i="9"/>
  <c r="CF70" i="9"/>
  <c r="CD74" i="9"/>
  <c r="CE74" i="9"/>
  <c r="CA74" i="9"/>
  <c r="CG74" i="9"/>
  <c r="CF74" i="9"/>
  <c r="AW52" i="9"/>
  <c r="AY52" i="9"/>
  <c r="AZ52" i="9"/>
  <c r="AW60" i="9"/>
  <c r="AZ60" i="9"/>
  <c r="AY60" i="9"/>
  <c r="AW68" i="9"/>
  <c r="AY68" i="9"/>
  <c r="AZ68" i="9"/>
  <c r="BI44" i="9"/>
  <c r="BK44" i="9"/>
  <c r="BL44" i="9"/>
  <c r="BJ44" i="9"/>
  <c r="BF44" i="9"/>
  <c r="AE45" i="9"/>
  <c r="AD45" i="9"/>
  <c r="AB45" i="9"/>
  <c r="AD61" i="9"/>
  <c r="AE61" i="9"/>
  <c r="AB61" i="9"/>
  <c r="AN50" i="9"/>
  <c r="AP50" i="9"/>
  <c r="AQ50" i="9"/>
  <c r="AO50" i="9"/>
  <c r="AK50" i="9"/>
  <c r="AN58" i="9"/>
  <c r="AP58" i="9"/>
  <c r="AQ58" i="9"/>
  <c r="AO58" i="9"/>
  <c r="AK58" i="9"/>
  <c r="AN45" i="9"/>
  <c r="AP45" i="9"/>
  <c r="AQ45" i="9"/>
  <c r="AO45" i="9"/>
  <c r="AK45" i="9"/>
  <c r="AN57" i="9"/>
  <c r="AP57" i="9"/>
  <c r="AQ57" i="9"/>
  <c r="AO57" i="9"/>
  <c r="AK57" i="9"/>
  <c r="AN69" i="9"/>
  <c r="AQ69" i="9"/>
  <c r="AO69" i="9"/>
  <c r="AK69" i="9"/>
  <c r="AP69" i="9"/>
  <c r="AN73" i="9"/>
  <c r="AQ73" i="9"/>
  <c r="AO73" i="9"/>
  <c r="AK73" i="9"/>
  <c r="AP73" i="9"/>
  <c r="DJ60" i="9"/>
  <c r="DK60" i="9"/>
  <c r="DH60" i="9"/>
  <c r="DT70" i="9"/>
  <c r="DV70" i="9"/>
  <c r="DU70" i="9"/>
  <c r="DW70" i="9"/>
  <c r="DQ70" i="9"/>
  <c r="DJ51" i="9"/>
  <c r="DH51" i="9"/>
  <c r="DK51" i="9"/>
  <c r="DJ67" i="9"/>
  <c r="DK67" i="9"/>
  <c r="DH67" i="9"/>
  <c r="DT45" i="9"/>
  <c r="DV45" i="9"/>
  <c r="DW45" i="9"/>
  <c r="DU45" i="9"/>
  <c r="DQ45" i="9"/>
  <c r="DT53" i="9"/>
  <c r="DV53" i="9"/>
  <c r="DW53" i="9"/>
  <c r="DU53" i="9"/>
  <c r="DQ53" i="9"/>
  <c r="DT61" i="9"/>
  <c r="DW61" i="9"/>
  <c r="DU61" i="9"/>
  <c r="DQ61" i="9"/>
  <c r="DV61" i="9"/>
  <c r="I86" i="9"/>
  <c r="G86" i="9"/>
  <c r="J86" i="9"/>
  <c r="J102" i="9"/>
  <c r="G102" i="9"/>
  <c r="I102" i="9"/>
  <c r="S85" i="9"/>
  <c r="U85" i="9"/>
  <c r="T85" i="9"/>
  <c r="P85" i="9"/>
  <c r="V85" i="9"/>
  <c r="S97" i="9"/>
  <c r="T97" i="9"/>
  <c r="P97" i="9"/>
  <c r="V97" i="9"/>
  <c r="U97" i="9"/>
  <c r="S101" i="9"/>
  <c r="T101" i="9"/>
  <c r="P101" i="9"/>
  <c r="V101" i="9"/>
  <c r="U101" i="9"/>
  <c r="CP47" i="9"/>
  <c r="CO47" i="9"/>
  <c r="CM47" i="9"/>
  <c r="CM63" i="9"/>
  <c r="CO63" i="9"/>
  <c r="CP63" i="9"/>
  <c r="CY46" i="9"/>
  <c r="CV46" i="9"/>
  <c r="CZ46" i="9"/>
  <c r="DB46" i="9"/>
  <c r="DA46" i="9"/>
  <c r="CY50" i="9"/>
  <c r="CV50" i="9"/>
  <c r="DA50" i="9"/>
  <c r="CZ50" i="9"/>
  <c r="DB50" i="9"/>
  <c r="M41" i="9"/>
  <c r="DD81" i="9"/>
  <c r="CI81" i="9"/>
  <c r="AE49" i="9"/>
  <c r="AD49" i="9"/>
  <c r="AB49" i="9"/>
  <c r="AE57" i="9"/>
  <c r="AD57" i="9"/>
  <c r="AB57" i="9"/>
  <c r="AD65" i="9"/>
  <c r="AE65" i="9"/>
  <c r="AB65" i="9"/>
  <c r="AD73" i="9"/>
  <c r="AE73" i="9"/>
  <c r="AB73" i="9"/>
  <c r="AP44" i="9"/>
  <c r="AN44" i="9"/>
  <c r="AQ44" i="9"/>
  <c r="AO44" i="9"/>
  <c r="AK44" i="9"/>
  <c r="DK48" i="9"/>
  <c r="DJ48" i="9"/>
  <c r="DH48" i="9"/>
  <c r="DK56" i="9"/>
  <c r="DJ56" i="9"/>
  <c r="DH56" i="9"/>
  <c r="DK64" i="9"/>
  <c r="DH64" i="9"/>
  <c r="DJ64" i="9"/>
  <c r="DJ72" i="9"/>
  <c r="DK72" i="9"/>
  <c r="DH72" i="9"/>
  <c r="DK47" i="9"/>
  <c r="DJ47" i="9"/>
  <c r="DH47" i="9"/>
  <c r="DH55" i="9"/>
  <c r="DJ55" i="9"/>
  <c r="DK55" i="9"/>
  <c r="DK63" i="9"/>
  <c r="DH63" i="9"/>
  <c r="DJ63" i="9"/>
  <c r="DJ71" i="9"/>
  <c r="DK71" i="9"/>
  <c r="DH71" i="9"/>
  <c r="I82" i="9"/>
  <c r="G82" i="9"/>
  <c r="J82" i="9"/>
  <c r="I90" i="9"/>
  <c r="J90" i="9"/>
  <c r="G90" i="9"/>
  <c r="J98" i="9"/>
  <c r="G98" i="9"/>
  <c r="I98" i="9"/>
  <c r="I106" i="9"/>
  <c r="J106" i="9"/>
  <c r="G106" i="9"/>
  <c r="S110" i="9"/>
  <c r="V110" i="9"/>
  <c r="T110" i="9"/>
  <c r="P110" i="9"/>
  <c r="U110" i="9"/>
  <c r="CP51" i="9"/>
  <c r="CO51" i="9"/>
  <c r="CM51" i="9"/>
  <c r="CM59" i="9"/>
  <c r="CP59" i="9"/>
  <c r="CO59" i="9"/>
  <c r="CO67" i="9"/>
  <c r="CP67" i="9"/>
  <c r="CM67" i="9"/>
  <c r="CO44" i="9"/>
  <c r="CM44" i="9"/>
  <c r="CP44" i="9"/>
  <c r="AF109" i="9"/>
  <c r="AG109" i="9"/>
  <c r="AF105" i="9"/>
  <c r="AG105" i="9"/>
  <c r="AF101" i="9"/>
  <c r="AG101" i="9"/>
  <c r="AF97" i="9"/>
  <c r="AG97" i="9"/>
  <c r="AF93" i="9"/>
  <c r="AG93" i="9"/>
  <c r="AF89" i="9"/>
  <c r="AG89" i="9"/>
  <c r="AF85" i="9"/>
  <c r="AG85" i="9"/>
  <c r="AF81" i="9"/>
  <c r="AG81" i="9"/>
  <c r="AB96" i="9"/>
  <c r="AB88" i="9"/>
  <c r="AC109" i="9"/>
  <c r="AC105" i="9"/>
  <c r="AC101" i="9"/>
  <c r="AC97" i="9"/>
  <c r="AC93" i="9"/>
  <c r="AC89" i="9"/>
  <c r="AC85" i="9"/>
  <c r="AC81" i="9"/>
  <c r="AF108" i="9"/>
  <c r="AG108" i="9"/>
  <c r="AF104" i="9"/>
  <c r="AG104" i="9"/>
  <c r="AF100" i="9"/>
  <c r="AG100" i="9"/>
  <c r="AF96" i="9"/>
  <c r="AG96" i="9"/>
  <c r="AF92" i="9"/>
  <c r="AG92" i="9"/>
  <c r="AF88" i="9"/>
  <c r="AG88" i="9"/>
  <c r="AF84" i="9"/>
  <c r="AG84" i="9"/>
  <c r="AC110" i="9"/>
  <c r="AC106" i="9"/>
  <c r="AC102" i="9"/>
  <c r="AC98" i="9"/>
  <c r="AC94" i="9"/>
  <c r="AC90" i="9"/>
  <c r="AC86" i="9"/>
  <c r="AC82" i="9"/>
  <c r="BT52" i="9"/>
  <c r="BU52" i="9"/>
  <c r="BR52" i="9"/>
  <c r="BT60" i="9"/>
  <c r="BU60" i="9"/>
  <c r="BR60" i="9"/>
  <c r="BU68" i="9"/>
  <c r="BR68" i="9"/>
  <c r="BT68" i="9"/>
  <c r="CD73" i="9"/>
  <c r="CG73" i="9"/>
  <c r="CA73" i="9"/>
  <c r="CE73" i="9"/>
  <c r="CF73" i="9"/>
  <c r="CD72" i="9"/>
  <c r="CE72" i="9"/>
  <c r="CA72" i="9"/>
  <c r="CG72" i="9"/>
  <c r="CF72" i="9"/>
  <c r="AY50" i="9"/>
  <c r="AZ50" i="9"/>
  <c r="AW50" i="9"/>
  <c r="AW58" i="9"/>
  <c r="AZ58" i="9"/>
  <c r="AY58" i="9"/>
  <c r="AW66" i="9"/>
  <c r="AZ66" i="9"/>
  <c r="AY66" i="9"/>
  <c r="AZ74" i="9"/>
  <c r="AW74" i="9"/>
  <c r="AY74" i="9"/>
  <c r="BI45" i="9"/>
  <c r="BK45" i="9"/>
  <c r="BF45" i="9"/>
  <c r="BL45" i="9"/>
  <c r="BJ45" i="9"/>
  <c r="BI69" i="9"/>
  <c r="BF69" i="9"/>
  <c r="BL69" i="9"/>
  <c r="BJ69" i="9"/>
  <c r="BK69" i="9"/>
  <c r="BI73" i="9"/>
  <c r="BF73" i="9"/>
  <c r="BL73" i="9"/>
  <c r="BJ73" i="9"/>
  <c r="BK73" i="9"/>
  <c r="BI70" i="9"/>
  <c r="BL70" i="9"/>
  <c r="BF70" i="9"/>
  <c r="BJ70" i="9"/>
  <c r="BK70" i="9"/>
  <c r="BI74" i="9"/>
  <c r="BL74" i="9"/>
  <c r="BF74" i="9"/>
  <c r="BJ74" i="9"/>
  <c r="BK74" i="9"/>
  <c r="AD47" i="9"/>
  <c r="AE47" i="9"/>
  <c r="AB47" i="9"/>
  <c r="AD55" i="9"/>
  <c r="AE55" i="9"/>
  <c r="AB55" i="9"/>
  <c r="AD63" i="9"/>
  <c r="AE63" i="9"/>
  <c r="AB63" i="9"/>
  <c r="AE71" i="9"/>
  <c r="AD71" i="9"/>
  <c r="AB71" i="9"/>
  <c r="AN74" i="9"/>
  <c r="AQ74" i="9"/>
  <c r="AO74" i="9"/>
  <c r="AK74" i="9"/>
  <c r="AP74" i="9"/>
  <c r="AN71" i="9"/>
  <c r="AQ71" i="9"/>
  <c r="AO71" i="9"/>
  <c r="AK71" i="9"/>
  <c r="AP71" i="9"/>
  <c r="I84" i="9"/>
  <c r="G84" i="9"/>
  <c r="J84" i="9"/>
  <c r="I92" i="9"/>
  <c r="J92" i="9"/>
  <c r="G92" i="9"/>
  <c r="J100" i="9"/>
  <c r="G100" i="9"/>
  <c r="I100" i="9"/>
  <c r="I108" i="9"/>
  <c r="J108" i="9"/>
  <c r="G108" i="9"/>
  <c r="S108" i="9"/>
  <c r="T108" i="9"/>
  <c r="P108" i="9"/>
  <c r="V108" i="9"/>
  <c r="U108" i="9"/>
  <c r="CY72" i="9"/>
  <c r="DB72" i="9"/>
  <c r="CZ72" i="9"/>
  <c r="CV72" i="9"/>
  <c r="DA72" i="9"/>
  <c r="CY71" i="9"/>
  <c r="DB71" i="9"/>
  <c r="CZ71" i="9"/>
  <c r="CV71" i="9"/>
  <c r="DA71" i="9"/>
  <c r="BU46" i="9"/>
  <c r="BT46" i="9"/>
  <c r="BR46" i="9"/>
  <c r="BR54" i="9"/>
  <c r="BU54" i="9"/>
  <c r="BT54" i="9"/>
  <c r="BT62" i="9"/>
  <c r="BU62" i="9"/>
  <c r="BR62" i="9"/>
  <c r="BU70" i="9"/>
  <c r="BR70" i="9"/>
  <c r="BT70" i="9"/>
  <c r="CF44" i="9"/>
  <c r="CD44" i="9"/>
  <c r="CE44" i="9"/>
  <c r="CG44" i="9"/>
  <c r="CA44" i="9"/>
  <c r="AZ48" i="9"/>
  <c r="AY48" i="9"/>
  <c r="AW48" i="9"/>
  <c r="AZ56" i="9"/>
  <c r="AY56" i="9"/>
  <c r="AW56" i="9"/>
  <c r="AW64" i="9"/>
  <c r="AZ64" i="9"/>
  <c r="AY64" i="9"/>
  <c r="AY72" i="9"/>
  <c r="AZ72" i="9"/>
  <c r="AW72" i="9"/>
  <c r="BI71" i="9"/>
  <c r="BL71" i="9"/>
  <c r="BJ71" i="9"/>
  <c r="BF71" i="9"/>
  <c r="BK71" i="9"/>
  <c r="BI72" i="9"/>
  <c r="BF72" i="9"/>
  <c r="BJ72" i="9"/>
  <c r="BL72" i="9"/>
  <c r="BK72" i="9"/>
  <c r="U61" i="9"/>
  <c r="V61" i="9"/>
  <c r="U53" i="9"/>
  <c r="V53" i="9"/>
  <c r="U62" i="9"/>
  <c r="V62" i="9"/>
  <c r="U46" i="9"/>
  <c r="V46" i="9"/>
  <c r="U54" i="9"/>
  <c r="V54" i="9"/>
  <c r="U67" i="9"/>
  <c r="V67" i="9"/>
  <c r="U71" i="9"/>
  <c r="V71" i="9"/>
  <c r="U44" i="9"/>
  <c r="V44" i="9"/>
  <c r="U47" i="9"/>
  <c r="V47" i="9"/>
  <c r="U56" i="9"/>
  <c r="V56" i="9"/>
  <c r="U64" i="9"/>
  <c r="V64" i="9"/>
  <c r="U68" i="9"/>
  <c r="V68" i="9"/>
  <c r="U72" i="9"/>
  <c r="V72" i="9"/>
  <c r="U52" i="9"/>
  <c r="V52" i="9"/>
  <c r="U48" i="9"/>
  <c r="V48" i="9"/>
  <c r="U57" i="9"/>
  <c r="V57" i="9"/>
  <c r="U65" i="9"/>
  <c r="V65" i="9"/>
  <c r="U69" i="9"/>
  <c r="V69" i="9"/>
  <c r="U73" i="9"/>
  <c r="V73" i="9"/>
  <c r="U55" i="9"/>
  <c r="V55" i="9"/>
  <c r="U45" i="9"/>
  <c r="V45" i="9"/>
  <c r="U49" i="9"/>
  <c r="V49" i="9"/>
  <c r="U58" i="9"/>
  <c r="V58" i="9"/>
  <c r="U66" i="9"/>
  <c r="V66" i="9"/>
  <c r="U70" i="9"/>
  <c r="V70" i="9"/>
  <c r="U74" i="9"/>
  <c r="V74" i="9"/>
  <c r="U50" i="9"/>
  <c r="V50" i="9"/>
  <c r="U59" i="9"/>
  <c r="V59" i="9"/>
  <c r="U63" i="9"/>
  <c r="V63" i="9"/>
  <c r="U51" i="9"/>
  <c r="V51" i="9"/>
  <c r="U60" i="9"/>
  <c r="V60" i="9"/>
  <c r="S57" i="9"/>
  <c r="T57" i="9"/>
  <c r="S65" i="9"/>
  <c r="T65" i="9"/>
  <c r="S53" i="9"/>
  <c r="T53" i="9"/>
  <c r="S62" i="9"/>
  <c r="T62" i="9"/>
  <c r="S46" i="9"/>
  <c r="T46" i="9"/>
  <c r="S54" i="9"/>
  <c r="T54" i="9"/>
  <c r="S67" i="9"/>
  <c r="T67" i="9"/>
  <c r="S71" i="9"/>
  <c r="T71" i="9"/>
  <c r="S44" i="9"/>
  <c r="T44" i="9"/>
  <c r="S47" i="9"/>
  <c r="T47" i="9"/>
  <c r="S56" i="9"/>
  <c r="T56" i="9"/>
  <c r="S64" i="9"/>
  <c r="T64" i="9"/>
  <c r="S68" i="9"/>
  <c r="T68" i="9"/>
  <c r="S72" i="9"/>
  <c r="T72" i="9"/>
  <c r="S52" i="9"/>
  <c r="T52" i="9"/>
  <c r="S48" i="9"/>
  <c r="T48" i="9"/>
  <c r="S61" i="9"/>
  <c r="T61" i="9"/>
  <c r="S69" i="9"/>
  <c r="T69" i="9"/>
  <c r="S73" i="9"/>
  <c r="T73" i="9"/>
  <c r="S55" i="9"/>
  <c r="T55" i="9"/>
  <c r="S45" i="9"/>
  <c r="T45" i="9"/>
  <c r="S49" i="9"/>
  <c r="T49" i="9"/>
  <c r="S58" i="9"/>
  <c r="T58" i="9"/>
  <c r="S66" i="9"/>
  <c r="T66" i="9"/>
  <c r="S70" i="9"/>
  <c r="T70" i="9"/>
  <c r="S74" i="9"/>
  <c r="T74" i="9"/>
  <c r="S50" i="9"/>
  <c r="T50" i="9"/>
  <c r="S59" i="9"/>
  <c r="T59" i="9"/>
  <c r="S63" i="9"/>
  <c r="T63" i="9"/>
  <c r="S51" i="9"/>
  <c r="T51" i="9"/>
  <c r="S60" i="9"/>
  <c r="T60" i="9"/>
  <c r="P48" i="9"/>
  <c r="P61" i="9"/>
  <c r="P62" i="9"/>
  <c r="P54" i="9"/>
  <c r="P67" i="9"/>
  <c r="P56" i="9"/>
  <c r="P64" i="9"/>
  <c r="P52" i="9"/>
  <c r="P65" i="9"/>
  <c r="P58" i="9"/>
  <c r="P66" i="9"/>
  <c r="P50" i="9"/>
  <c r="P63" i="9"/>
  <c r="P60" i="9"/>
  <c r="J58" i="9"/>
  <c r="I58" i="9"/>
  <c r="G58" i="9"/>
  <c r="J45" i="9"/>
  <c r="I45" i="9"/>
  <c r="G45" i="9"/>
  <c r="J53" i="9"/>
  <c r="I53" i="9"/>
  <c r="G53" i="9"/>
  <c r="J62" i="9"/>
  <c r="I62" i="9"/>
  <c r="G62" i="9"/>
  <c r="J70" i="9"/>
  <c r="I70" i="9"/>
  <c r="G70" i="9"/>
  <c r="P57" i="9"/>
  <c r="J51" i="9"/>
  <c r="I51" i="9"/>
  <c r="G51" i="9"/>
  <c r="J60" i="9"/>
  <c r="I60" i="9"/>
  <c r="G60" i="9"/>
  <c r="J68" i="9"/>
  <c r="I68" i="9"/>
  <c r="G68" i="9"/>
  <c r="P46" i="9"/>
  <c r="P59" i="9"/>
  <c r="J49" i="9"/>
  <c r="I49" i="9"/>
  <c r="G49" i="9"/>
  <c r="J66" i="9"/>
  <c r="I66" i="9"/>
  <c r="G66" i="9"/>
  <c r="J74" i="9"/>
  <c r="G74" i="9"/>
  <c r="I74" i="9"/>
  <c r="P69" i="9"/>
  <c r="P73" i="9"/>
  <c r="P55" i="9"/>
  <c r="P45" i="9"/>
  <c r="P49" i="9"/>
  <c r="P53" i="9"/>
  <c r="P70" i="9"/>
  <c r="P74" i="9"/>
  <c r="J47" i="9"/>
  <c r="I47" i="9"/>
  <c r="G47" i="9"/>
  <c r="J56" i="9"/>
  <c r="I56" i="9"/>
  <c r="G56" i="9"/>
  <c r="J64" i="9"/>
  <c r="I64" i="9"/>
  <c r="G64" i="9"/>
  <c r="J72" i="9"/>
  <c r="I72" i="9"/>
  <c r="G72" i="9"/>
  <c r="P71" i="9"/>
  <c r="P44" i="9"/>
  <c r="P47" i="9"/>
  <c r="P51" i="9"/>
  <c r="P68" i="9"/>
  <c r="P72" i="9"/>
  <c r="AN84" i="9"/>
  <c r="AP84" i="9"/>
  <c r="AQ84" i="9"/>
  <c r="AO84" i="9"/>
  <c r="AK84" i="9"/>
  <c r="AN88" i="9"/>
  <c r="AP88" i="9"/>
  <c r="AQ88" i="9"/>
  <c r="AO88" i="9"/>
  <c r="AK88" i="9"/>
  <c r="AN92" i="9"/>
  <c r="AP92" i="9"/>
  <c r="AQ92" i="9"/>
  <c r="AO92" i="9"/>
  <c r="AK92" i="9"/>
  <c r="AN96" i="9"/>
  <c r="AP96" i="9"/>
  <c r="AQ96" i="9"/>
  <c r="AO96" i="9"/>
  <c r="AK96" i="9"/>
  <c r="AN104" i="9"/>
  <c r="AP104" i="9"/>
  <c r="AQ104" i="9"/>
  <c r="AO104" i="9"/>
  <c r="AK104" i="9"/>
  <c r="AN85" i="9"/>
  <c r="AP85" i="9"/>
  <c r="AQ85" i="9"/>
  <c r="AO85" i="9"/>
  <c r="AK85" i="9"/>
  <c r="AN93" i="9"/>
  <c r="AP93" i="9"/>
  <c r="AQ93" i="9"/>
  <c r="AO93" i="9"/>
  <c r="AK93" i="9"/>
  <c r="AN101" i="9"/>
  <c r="AP101" i="9"/>
  <c r="AQ101" i="9"/>
  <c r="AO101" i="9"/>
  <c r="AK101" i="9"/>
  <c r="AN100" i="9"/>
  <c r="AP100" i="9"/>
  <c r="AQ100" i="9"/>
  <c r="AO100" i="9"/>
  <c r="AK100" i="9"/>
  <c r="AN81" i="9"/>
  <c r="AP81" i="9"/>
  <c r="AQ81" i="9"/>
  <c r="AO81" i="9"/>
  <c r="AK81" i="9"/>
  <c r="AN89" i="9"/>
  <c r="AP89" i="9"/>
  <c r="AQ89" i="9"/>
  <c r="AO89" i="9"/>
  <c r="AK89" i="9"/>
  <c r="AN97" i="9"/>
  <c r="AP97" i="9"/>
  <c r="AQ97" i="9"/>
  <c r="AO97" i="9"/>
  <c r="AK97" i="9"/>
  <c r="AN105" i="9"/>
  <c r="AP105" i="9"/>
  <c r="AQ105" i="9"/>
  <c r="AO105" i="9"/>
  <c r="AK105" i="9"/>
  <c r="AY110" i="9"/>
  <c r="AZ110" i="9"/>
  <c r="AW110" i="9"/>
  <c r="AZ106" i="9"/>
  <c r="AW106" i="9"/>
  <c r="AY106" i="9"/>
  <c r="AY102" i="9"/>
  <c r="AZ102" i="9"/>
  <c r="AW102" i="9"/>
  <c r="BJ75" i="9"/>
  <c r="BF75" i="9"/>
  <c r="BK75" i="9"/>
  <c r="BI75" i="9"/>
  <c r="AE82" i="9"/>
  <c r="AD82" i="9"/>
  <c r="AB82" i="9"/>
  <c r="AE90" i="9"/>
  <c r="AD90" i="9"/>
  <c r="AB90" i="9"/>
  <c r="AE98" i="9"/>
  <c r="AD98" i="9"/>
  <c r="AB98" i="9"/>
  <c r="AE106" i="9"/>
  <c r="AB106" i="9"/>
  <c r="AD106" i="9"/>
  <c r="AE81" i="9"/>
  <c r="AD81" i="9"/>
  <c r="AB81" i="9"/>
  <c r="AB89" i="9"/>
  <c r="AE89" i="9"/>
  <c r="AD89" i="9"/>
  <c r="AB97" i="9"/>
  <c r="AD97" i="9"/>
  <c r="AE97" i="9"/>
  <c r="AD105" i="9"/>
  <c r="AE105" i="9"/>
  <c r="AB105" i="9"/>
  <c r="DD89" i="9"/>
  <c r="DD83" i="9"/>
  <c r="DD91" i="9"/>
  <c r="DD87" i="9"/>
  <c r="DD85" i="9"/>
  <c r="DQ75" i="9"/>
  <c r="DW75" i="9"/>
  <c r="DT75" i="9"/>
  <c r="AK75" i="9"/>
  <c r="AO75" i="9"/>
  <c r="AP75" i="9"/>
  <c r="AN75" i="9"/>
  <c r="AO76" i="9"/>
  <c r="D114" i="9"/>
  <c r="BA108" i="9"/>
  <c r="BB108" i="9"/>
  <c r="BA104" i="9"/>
  <c r="BB104" i="9"/>
  <c r="BA100" i="9"/>
  <c r="BB100" i="9"/>
  <c r="BA96" i="9"/>
  <c r="BB96" i="9"/>
  <c r="BA92" i="9"/>
  <c r="BB92" i="9"/>
  <c r="BA88" i="9"/>
  <c r="BB88" i="9"/>
  <c r="BA84" i="9"/>
  <c r="BB84" i="9"/>
  <c r="AY109" i="9"/>
  <c r="AZ109" i="9"/>
  <c r="AW109" i="9"/>
  <c r="AZ105" i="9"/>
  <c r="AW105" i="9"/>
  <c r="AY105" i="9"/>
  <c r="AZ101" i="9"/>
  <c r="AY101" i="9"/>
  <c r="BA80" i="9"/>
  <c r="BB80" i="9"/>
  <c r="BA107" i="9"/>
  <c r="BB107" i="9"/>
  <c r="BA103" i="9"/>
  <c r="BB103" i="9"/>
  <c r="BA99" i="9"/>
  <c r="BB99" i="9"/>
  <c r="BA95" i="9"/>
  <c r="BB95" i="9"/>
  <c r="BA91" i="9"/>
  <c r="BB91" i="9"/>
  <c r="BA87" i="9"/>
  <c r="BB87" i="9"/>
  <c r="BA83" i="9"/>
  <c r="BB83" i="9"/>
  <c r="AX96" i="9"/>
  <c r="AX92" i="9"/>
  <c r="AX88" i="9"/>
  <c r="AX84" i="9"/>
  <c r="AX99" i="9"/>
  <c r="AX95" i="9"/>
  <c r="AX91" i="9"/>
  <c r="AX87" i="9"/>
  <c r="AX83" i="9"/>
  <c r="CF75" i="9"/>
  <c r="CG75" i="9"/>
  <c r="AN82" i="9"/>
  <c r="AP82" i="9"/>
  <c r="AO82" i="9"/>
  <c r="AK82" i="9"/>
  <c r="AQ82" i="9"/>
  <c r="AN86" i="9"/>
  <c r="AP86" i="9"/>
  <c r="AO86" i="9"/>
  <c r="AK86" i="9"/>
  <c r="AQ86" i="9"/>
  <c r="AN90" i="9"/>
  <c r="AP90" i="9"/>
  <c r="AO90" i="9"/>
  <c r="AK90" i="9"/>
  <c r="AQ90" i="9"/>
  <c r="AN94" i="9"/>
  <c r="AP94" i="9"/>
  <c r="AO94" i="9"/>
  <c r="AK94" i="9"/>
  <c r="AQ94" i="9"/>
  <c r="AN98" i="9"/>
  <c r="AP98" i="9"/>
  <c r="AO98" i="9"/>
  <c r="AK98" i="9"/>
  <c r="AQ98" i="9"/>
  <c r="AN102" i="9"/>
  <c r="AP102" i="9"/>
  <c r="AO102" i="9"/>
  <c r="AK102" i="9"/>
  <c r="AQ102" i="9"/>
  <c r="AE83" i="9"/>
  <c r="AD83" i="9"/>
  <c r="AB83" i="9"/>
  <c r="AB91" i="9"/>
  <c r="AE91" i="9"/>
  <c r="AD91" i="9"/>
  <c r="AB99" i="9"/>
  <c r="AE99" i="9"/>
  <c r="AD99" i="9"/>
  <c r="AE107" i="9"/>
  <c r="AB107" i="9"/>
  <c r="AD107" i="9"/>
  <c r="AN83" i="9"/>
  <c r="AP83" i="9"/>
  <c r="AQ83" i="9"/>
  <c r="AO83" i="9"/>
  <c r="AK83" i="9"/>
  <c r="AN87" i="9"/>
  <c r="AP87" i="9"/>
  <c r="AQ87" i="9"/>
  <c r="AO87" i="9"/>
  <c r="AK87" i="9"/>
  <c r="AN91" i="9"/>
  <c r="AP91" i="9"/>
  <c r="AQ91" i="9"/>
  <c r="AO91" i="9"/>
  <c r="AK91" i="9"/>
  <c r="AN95" i="9"/>
  <c r="AP95" i="9"/>
  <c r="AQ95" i="9"/>
  <c r="AO95" i="9"/>
  <c r="AK95" i="9"/>
  <c r="AN99" i="9"/>
  <c r="AP99" i="9"/>
  <c r="AQ99" i="9"/>
  <c r="AO99" i="9"/>
  <c r="AK99" i="9"/>
  <c r="AN103" i="9"/>
  <c r="AP103" i="9"/>
  <c r="AQ103" i="9"/>
  <c r="AO103" i="9"/>
  <c r="AK103" i="9"/>
  <c r="AN107" i="9"/>
  <c r="AP107" i="9"/>
  <c r="AQ107" i="9"/>
  <c r="AO107" i="9"/>
  <c r="AK107" i="9"/>
  <c r="AN80" i="9"/>
  <c r="AP80" i="9"/>
  <c r="AQ80" i="9"/>
  <c r="AO80" i="9"/>
  <c r="AK80" i="9"/>
  <c r="BP81" i="9"/>
  <c r="BP83" i="9"/>
  <c r="BP85" i="9"/>
  <c r="BP87" i="9"/>
  <c r="BP89" i="9"/>
  <c r="BP91" i="9"/>
  <c r="BP93" i="9"/>
  <c r="BP95" i="9"/>
  <c r="BP97" i="9"/>
  <c r="BP99" i="9"/>
  <c r="BP101" i="9"/>
  <c r="BP103" i="9"/>
  <c r="BP105" i="9"/>
  <c r="BP107" i="9"/>
  <c r="BP109" i="9"/>
  <c r="BP80" i="9"/>
  <c r="BS81" i="9"/>
  <c r="BS83" i="9"/>
  <c r="BS85" i="9"/>
  <c r="BS87" i="9"/>
  <c r="BS89" i="9"/>
  <c r="BS91" i="9"/>
  <c r="BS93" i="9"/>
  <c r="BS95" i="9"/>
  <c r="BS97" i="9"/>
  <c r="BS99" i="9"/>
  <c r="BS101" i="9"/>
  <c r="BS103" i="9"/>
  <c r="BS105" i="9"/>
  <c r="BS107" i="9"/>
  <c r="BS109" i="9"/>
  <c r="BS80" i="9"/>
  <c r="BP82" i="9"/>
  <c r="BP84" i="9"/>
  <c r="BS84" i="9"/>
  <c r="BP86" i="9"/>
  <c r="BP88" i="9"/>
  <c r="BS88" i="9"/>
  <c r="BP90" i="9"/>
  <c r="BP92" i="9"/>
  <c r="BS92" i="9"/>
  <c r="BP94" i="9"/>
  <c r="BP96" i="9"/>
  <c r="BS96" i="9"/>
  <c r="BP98" i="9"/>
  <c r="BP100" i="9"/>
  <c r="BS100" i="9"/>
  <c r="BP102" i="9"/>
  <c r="BP104" i="9"/>
  <c r="BS104" i="9"/>
  <c r="BP106" i="9"/>
  <c r="BP108" i="9"/>
  <c r="BS108" i="9"/>
  <c r="BP110" i="9"/>
  <c r="DA75" i="9"/>
  <c r="CV75" i="9"/>
  <c r="CZ75" i="9"/>
  <c r="CY75" i="9"/>
  <c r="V111" i="9"/>
  <c r="S111" i="9"/>
  <c r="BL75" i="9"/>
  <c r="AE86" i="9"/>
  <c r="AD86" i="9"/>
  <c r="AB86" i="9"/>
  <c r="AE94" i="9"/>
  <c r="AD94" i="9"/>
  <c r="AB94" i="9"/>
  <c r="AE102" i="9"/>
  <c r="AB102" i="9"/>
  <c r="AD102" i="9"/>
  <c r="AE110" i="9"/>
  <c r="AB110" i="9"/>
  <c r="AD110" i="9"/>
  <c r="AN108" i="9"/>
  <c r="AP108" i="9"/>
  <c r="AQ108" i="9"/>
  <c r="AO108" i="9"/>
  <c r="AK108" i="9"/>
  <c r="AB85" i="9"/>
  <c r="AD85" i="9"/>
  <c r="AE85" i="9"/>
  <c r="AB93" i="9"/>
  <c r="AE93" i="9"/>
  <c r="AD93" i="9"/>
  <c r="AD101" i="9"/>
  <c r="AE101" i="9"/>
  <c r="AB101" i="9"/>
  <c r="AE109" i="9"/>
  <c r="AB109" i="9"/>
  <c r="AD109" i="9"/>
  <c r="AN109" i="9"/>
  <c r="AP109" i="9"/>
  <c r="AQ109" i="9"/>
  <c r="AO109" i="9"/>
  <c r="AK109" i="9"/>
  <c r="CI91" i="9"/>
  <c r="CI89" i="9"/>
  <c r="CI87" i="9"/>
  <c r="CI85" i="9"/>
  <c r="CI83" i="9"/>
  <c r="DU75" i="9"/>
  <c r="DV75" i="9"/>
  <c r="DW76" i="9"/>
  <c r="E118" i="9"/>
  <c r="AQ75" i="9"/>
  <c r="BB110" i="9"/>
  <c r="BA110" i="9"/>
  <c r="BA106" i="9"/>
  <c r="BB106" i="9"/>
  <c r="BA102" i="9"/>
  <c r="BB102" i="9"/>
  <c r="BA98" i="9"/>
  <c r="BB98" i="9"/>
  <c r="BA94" i="9"/>
  <c r="BB94" i="9"/>
  <c r="BA90" i="9"/>
  <c r="BB90" i="9"/>
  <c r="BA86" i="9"/>
  <c r="BB86" i="9"/>
  <c r="BA82" i="9"/>
  <c r="BB82" i="9"/>
  <c r="AY80" i="9"/>
  <c r="AW80" i="9"/>
  <c r="AZ80" i="9"/>
  <c r="AZ107" i="9"/>
  <c r="AW107" i="9"/>
  <c r="AY107" i="9"/>
  <c r="AZ103" i="9"/>
  <c r="AW103" i="9"/>
  <c r="AY103" i="9"/>
  <c r="AX98" i="9"/>
  <c r="BA109" i="9"/>
  <c r="BB109" i="9"/>
  <c r="BA105" i="9"/>
  <c r="BB105" i="9"/>
  <c r="BA101" i="9"/>
  <c r="BB101" i="9"/>
  <c r="BA97" i="9"/>
  <c r="BB97" i="9"/>
  <c r="BA93" i="9"/>
  <c r="BB93" i="9"/>
  <c r="BA89" i="9"/>
  <c r="BB89" i="9"/>
  <c r="BA85" i="9"/>
  <c r="BB85" i="9"/>
  <c r="BA81" i="9"/>
  <c r="BB81" i="9"/>
  <c r="AX108" i="9"/>
  <c r="AX104" i="9"/>
  <c r="AX100" i="9"/>
  <c r="AX94" i="9"/>
  <c r="AX90" i="9"/>
  <c r="AX86" i="9"/>
  <c r="AX82" i="9"/>
  <c r="AX97" i="9"/>
  <c r="AX93" i="9"/>
  <c r="AX89" i="9"/>
  <c r="AX85" i="9"/>
  <c r="AX81" i="9"/>
  <c r="CE75" i="9"/>
  <c r="CA75" i="9"/>
  <c r="CD75" i="9"/>
  <c r="CE76" i="9"/>
  <c r="D116" i="9"/>
  <c r="AN106" i="9"/>
  <c r="AP106" i="9"/>
  <c r="AO106" i="9"/>
  <c r="AK106" i="9"/>
  <c r="AQ106" i="9"/>
  <c r="AN110" i="9"/>
  <c r="AP110" i="9"/>
  <c r="AO110" i="9"/>
  <c r="AK110" i="9"/>
  <c r="AQ110" i="9"/>
  <c r="AB87" i="9"/>
  <c r="AE87" i="9"/>
  <c r="AD87" i="9"/>
  <c r="AB95" i="9"/>
  <c r="AE95" i="9"/>
  <c r="AD95" i="9"/>
  <c r="AD103" i="9"/>
  <c r="AE103" i="9"/>
  <c r="AB103" i="9"/>
  <c r="AD80" i="9"/>
  <c r="AB80" i="9"/>
  <c r="AE80" i="9"/>
  <c r="DB75" i="9"/>
  <c r="P111" i="9"/>
  <c r="T111" i="9"/>
  <c r="U111" i="9"/>
  <c r="S75" i="9"/>
  <c r="V75" i="9"/>
  <c r="P75" i="9"/>
  <c r="T75" i="9"/>
  <c r="U75" i="9"/>
  <c r="C48" i="2"/>
  <c r="T112" i="9"/>
  <c r="D119" i="9"/>
  <c r="V76" i="9"/>
  <c r="E113" i="9"/>
  <c r="BJ76" i="9"/>
  <c r="D115" i="9"/>
  <c r="BT108" i="9"/>
  <c r="BU108" i="9"/>
  <c r="BR108" i="9"/>
  <c r="BI85" i="9"/>
  <c r="BK85" i="9"/>
  <c r="BL85" i="9"/>
  <c r="BF85" i="9"/>
  <c r="BJ85" i="9"/>
  <c r="BI93" i="9"/>
  <c r="BK93" i="9"/>
  <c r="BL93" i="9"/>
  <c r="BF93" i="9"/>
  <c r="BJ93" i="9"/>
  <c r="BI101" i="9"/>
  <c r="BK101" i="9"/>
  <c r="BL101" i="9"/>
  <c r="BF101" i="9"/>
  <c r="BJ101" i="9"/>
  <c r="BI87" i="9"/>
  <c r="BK87" i="9"/>
  <c r="BJ87" i="9"/>
  <c r="BL87" i="9"/>
  <c r="BF87" i="9"/>
  <c r="BI88" i="9"/>
  <c r="BK88" i="9"/>
  <c r="BF88" i="9"/>
  <c r="BL88" i="9"/>
  <c r="BJ88" i="9"/>
  <c r="BI96" i="9"/>
  <c r="BK96" i="9"/>
  <c r="BF96" i="9"/>
  <c r="BL96" i="9"/>
  <c r="BJ96" i="9"/>
  <c r="BI104" i="9"/>
  <c r="BK104" i="9"/>
  <c r="BF104" i="9"/>
  <c r="BL104" i="9"/>
  <c r="BJ104" i="9"/>
  <c r="BI89" i="9"/>
  <c r="BK89" i="9"/>
  <c r="BL89" i="9"/>
  <c r="BF89" i="9"/>
  <c r="BJ89" i="9"/>
  <c r="BI97" i="9"/>
  <c r="BK97" i="9"/>
  <c r="BL97" i="9"/>
  <c r="BF97" i="9"/>
  <c r="BJ97" i="9"/>
  <c r="BU104" i="9"/>
  <c r="BT104" i="9"/>
  <c r="BR104" i="9"/>
  <c r="BU100" i="9"/>
  <c r="BT100" i="9"/>
  <c r="BR100" i="9"/>
  <c r="BU96" i="9"/>
  <c r="BT96" i="9"/>
  <c r="BR96" i="9"/>
  <c r="BT92" i="9"/>
  <c r="BU92" i="9"/>
  <c r="BR92" i="9"/>
  <c r="BT88" i="9"/>
  <c r="BU88" i="9"/>
  <c r="BR88" i="9"/>
  <c r="BU84" i="9"/>
  <c r="BT84" i="9"/>
  <c r="BR84" i="9"/>
  <c r="BI84" i="9"/>
  <c r="BK84" i="9"/>
  <c r="BF84" i="9"/>
  <c r="BL84" i="9"/>
  <c r="BJ84" i="9"/>
  <c r="BI92" i="9"/>
  <c r="BK92" i="9"/>
  <c r="BF92" i="9"/>
  <c r="BL92" i="9"/>
  <c r="BJ92" i="9"/>
  <c r="BI100" i="9"/>
  <c r="BK100" i="9"/>
  <c r="BF100" i="9"/>
  <c r="BL100" i="9"/>
  <c r="BJ100" i="9"/>
  <c r="AZ85" i="9"/>
  <c r="AY85" i="9"/>
  <c r="AW85" i="9"/>
  <c r="AZ93" i="9"/>
  <c r="AY93" i="9"/>
  <c r="AW93" i="9"/>
  <c r="AY82" i="9"/>
  <c r="AZ82" i="9"/>
  <c r="AW82" i="9"/>
  <c r="AZ90" i="9"/>
  <c r="AY90" i="9"/>
  <c r="AW90" i="9"/>
  <c r="AY100" i="9"/>
  <c r="AZ100" i="9"/>
  <c r="AW100" i="9"/>
  <c r="AZ108" i="9"/>
  <c r="AW108" i="9"/>
  <c r="AY108" i="9"/>
  <c r="BI81" i="9"/>
  <c r="BK81" i="9"/>
  <c r="BL81" i="9"/>
  <c r="BF81" i="9"/>
  <c r="BJ81" i="9"/>
  <c r="BI105" i="9"/>
  <c r="BK105" i="9"/>
  <c r="BL105" i="9"/>
  <c r="BF105" i="9"/>
  <c r="BJ105" i="9"/>
  <c r="BI109" i="9"/>
  <c r="BK109" i="9"/>
  <c r="BL109" i="9"/>
  <c r="BF109" i="9"/>
  <c r="BJ109" i="9"/>
  <c r="BI110" i="9"/>
  <c r="BK110" i="9"/>
  <c r="BL110" i="9"/>
  <c r="BJ110" i="9"/>
  <c r="BF110" i="9"/>
  <c r="CK81" i="9"/>
  <c r="CK83" i="9"/>
  <c r="CK85" i="9"/>
  <c r="CK87" i="9"/>
  <c r="CK89" i="9"/>
  <c r="CK91" i="9"/>
  <c r="CK93" i="9"/>
  <c r="CK95" i="9"/>
  <c r="CK97" i="9"/>
  <c r="CK99" i="9"/>
  <c r="CK101" i="9"/>
  <c r="CK103" i="9"/>
  <c r="CK105" i="9"/>
  <c r="CK107" i="9"/>
  <c r="CK109" i="9"/>
  <c r="CK80" i="9"/>
  <c r="CN81" i="9"/>
  <c r="CN83" i="9"/>
  <c r="CN85" i="9"/>
  <c r="CN87" i="9"/>
  <c r="CN89" i="9"/>
  <c r="CM89" i="9"/>
  <c r="CN91" i="9"/>
  <c r="CN93" i="9"/>
  <c r="CM93" i="9"/>
  <c r="CN95" i="9"/>
  <c r="CN97" i="9"/>
  <c r="CM97" i="9"/>
  <c r="CN99" i="9"/>
  <c r="CN101" i="9"/>
  <c r="CN103" i="9"/>
  <c r="CN105" i="9"/>
  <c r="CN107" i="9"/>
  <c r="CN109" i="9"/>
  <c r="CN80" i="9"/>
  <c r="CK82" i="9"/>
  <c r="CK84" i="9"/>
  <c r="CN84" i="9"/>
  <c r="CK86" i="9"/>
  <c r="CK88" i="9"/>
  <c r="CN88" i="9"/>
  <c r="CK90" i="9"/>
  <c r="CK92" i="9"/>
  <c r="CN92" i="9"/>
  <c r="CK94" i="9"/>
  <c r="CK96" i="9"/>
  <c r="CN96" i="9"/>
  <c r="CK98" i="9"/>
  <c r="CK100" i="9"/>
  <c r="CN100" i="9"/>
  <c r="CK102" i="9"/>
  <c r="CK104" i="9"/>
  <c r="CN104" i="9"/>
  <c r="CK106" i="9"/>
  <c r="CK108" i="9"/>
  <c r="CN108" i="9"/>
  <c r="CK110" i="9"/>
  <c r="BV110" i="9"/>
  <c r="BW110" i="9"/>
  <c r="BV106" i="9"/>
  <c r="BW106" i="9"/>
  <c r="BV102" i="9"/>
  <c r="BW102" i="9"/>
  <c r="BV98" i="9"/>
  <c r="BW98" i="9"/>
  <c r="BV94" i="9"/>
  <c r="BW94" i="9"/>
  <c r="BV90" i="9"/>
  <c r="BW90" i="9"/>
  <c r="BV86" i="9"/>
  <c r="BW86" i="9"/>
  <c r="BV82" i="9"/>
  <c r="BW82" i="9"/>
  <c r="BU80" i="9"/>
  <c r="BT80" i="9"/>
  <c r="BR80" i="9"/>
  <c r="BT107" i="9"/>
  <c r="BU107" i="9"/>
  <c r="BR107" i="9"/>
  <c r="BR103" i="9"/>
  <c r="BU103" i="9"/>
  <c r="BT103" i="9"/>
  <c r="BR99" i="9"/>
  <c r="BT99" i="9"/>
  <c r="BU99" i="9"/>
  <c r="BR95" i="9"/>
  <c r="BT95" i="9"/>
  <c r="BU95" i="9"/>
  <c r="BR91" i="9"/>
  <c r="BU91" i="9"/>
  <c r="BT91" i="9"/>
  <c r="BR87" i="9"/>
  <c r="BU87" i="9"/>
  <c r="BT87" i="9"/>
  <c r="BU83" i="9"/>
  <c r="BT83" i="9"/>
  <c r="BR83" i="9"/>
  <c r="BW80" i="9"/>
  <c r="BV80" i="9"/>
  <c r="BV107" i="9"/>
  <c r="BW107" i="9"/>
  <c r="BV103" i="9"/>
  <c r="BW103" i="9"/>
  <c r="BV99" i="9"/>
  <c r="BW99" i="9"/>
  <c r="BV95" i="9"/>
  <c r="BW95" i="9"/>
  <c r="BV91" i="9"/>
  <c r="BW91" i="9"/>
  <c r="BV87" i="9"/>
  <c r="BW87" i="9"/>
  <c r="BV83" i="9"/>
  <c r="BW83" i="9"/>
  <c r="AY83" i="9"/>
  <c r="AZ83" i="9"/>
  <c r="AW83" i="9"/>
  <c r="AY91" i="9"/>
  <c r="AZ91" i="9"/>
  <c r="AW91" i="9"/>
  <c r="AZ99" i="9"/>
  <c r="AY99" i="9"/>
  <c r="AW99" i="9"/>
  <c r="AY88" i="9"/>
  <c r="AZ88" i="9"/>
  <c r="AW88" i="9"/>
  <c r="AZ96" i="9"/>
  <c r="AY96" i="9"/>
  <c r="AW96" i="9"/>
  <c r="BI83" i="9"/>
  <c r="BK83" i="9"/>
  <c r="BJ83" i="9"/>
  <c r="BL83" i="9"/>
  <c r="BF83" i="9"/>
  <c r="BI91" i="9"/>
  <c r="BK91" i="9"/>
  <c r="BJ91" i="9"/>
  <c r="BL91" i="9"/>
  <c r="BF91" i="9"/>
  <c r="BI95" i="9"/>
  <c r="BK95" i="9"/>
  <c r="BJ95" i="9"/>
  <c r="BL95" i="9"/>
  <c r="BF95" i="9"/>
  <c r="BI99" i="9"/>
  <c r="BK99" i="9"/>
  <c r="BJ99" i="9"/>
  <c r="BL99" i="9"/>
  <c r="BF99" i="9"/>
  <c r="BI103" i="9"/>
  <c r="BK103" i="9"/>
  <c r="BJ103" i="9"/>
  <c r="BL103" i="9"/>
  <c r="BF103" i="9"/>
  <c r="BI107" i="9"/>
  <c r="BK107" i="9"/>
  <c r="BJ107" i="9"/>
  <c r="BL107" i="9"/>
  <c r="BF107" i="9"/>
  <c r="DU76" i="9"/>
  <c r="D118" i="9"/>
  <c r="DF81" i="9"/>
  <c r="DF83" i="9"/>
  <c r="DF85" i="9"/>
  <c r="DF87" i="9"/>
  <c r="DF89" i="9"/>
  <c r="DF91" i="9"/>
  <c r="DF93" i="9"/>
  <c r="DF95" i="9"/>
  <c r="DF97" i="9"/>
  <c r="DF99" i="9"/>
  <c r="DF101" i="9"/>
  <c r="DF103" i="9"/>
  <c r="DF105" i="9"/>
  <c r="DF107" i="9"/>
  <c r="DF109" i="9"/>
  <c r="DF80" i="9"/>
  <c r="DI81" i="9"/>
  <c r="DI83" i="9"/>
  <c r="DI85" i="9"/>
  <c r="DI87" i="9"/>
  <c r="DI89" i="9"/>
  <c r="DI91" i="9"/>
  <c r="DI93" i="9"/>
  <c r="DI95" i="9"/>
  <c r="DI97" i="9"/>
  <c r="DI99" i="9"/>
  <c r="DI101" i="9"/>
  <c r="DI103" i="9"/>
  <c r="DI105" i="9"/>
  <c r="DI107" i="9"/>
  <c r="DI109" i="9"/>
  <c r="DI80" i="9"/>
  <c r="DF82" i="9"/>
  <c r="DF84" i="9"/>
  <c r="DI84" i="9"/>
  <c r="DF86" i="9"/>
  <c r="DF88" i="9"/>
  <c r="DI88" i="9"/>
  <c r="DF90" i="9"/>
  <c r="DF92" i="9"/>
  <c r="DI92" i="9"/>
  <c r="DF94" i="9"/>
  <c r="DF96" i="9"/>
  <c r="DI96" i="9"/>
  <c r="DF98" i="9"/>
  <c r="DF100" i="9"/>
  <c r="DI100" i="9"/>
  <c r="DF102" i="9"/>
  <c r="DF104" i="9"/>
  <c r="DI104" i="9"/>
  <c r="DF106" i="9"/>
  <c r="DF108" i="9"/>
  <c r="DI108" i="9"/>
  <c r="DF110" i="9"/>
  <c r="BL76" i="9"/>
  <c r="E115" i="9"/>
  <c r="AK111" i="9"/>
  <c r="AO111" i="9"/>
  <c r="AP111" i="9"/>
  <c r="AN111" i="9"/>
  <c r="AO112" i="9"/>
  <c r="D120" i="9"/>
  <c r="AY81" i="9"/>
  <c r="AW81" i="9"/>
  <c r="AZ81" i="9"/>
  <c r="AZ89" i="9"/>
  <c r="AY89" i="9"/>
  <c r="AW89" i="9"/>
  <c r="AY97" i="9"/>
  <c r="AZ97" i="9"/>
  <c r="AW97" i="9"/>
  <c r="AZ86" i="9"/>
  <c r="AY86" i="9"/>
  <c r="AW86" i="9"/>
  <c r="AZ94" i="9"/>
  <c r="AY94" i="9"/>
  <c r="AW94" i="9"/>
  <c r="AZ104" i="9"/>
  <c r="AY104" i="9"/>
  <c r="AW104" i="9"/>
  <c r="AY98" i="9"/>
  <c r="AZ98" i="9"/>
  <c r="AW98" i="9"/>
  <c r="BI82" i="9"/>
  <c r="BK82" i="9"/>
  <c r="BL82" i="9"/>
  <c r="BJ82" i="9"/>
  <c r="BF82" i="9"/>
  <c r="BI86" i="9"/>
  <c r="BK86" i="9"/>
  <c r="BL86" i="9"/>
  <c r="BJ86" i="9"/>
  <c r="BF86" i="9"/>
  <c r="BI90" i="9"/>
  <c r="BK90" i="9"/>
  <c r="BL90" i="9"/>
  <c r="BJ90" i="9"/>
  <c r="BF90" i="9"/>
  <c r="BI94" i="9"/>
  <c r="BK94" i="9"/>
  <c r="BL94" i="9"/>
  <c r="BJ94" i="9"/>
  <c r="BF94" i="9"/>
  <c r="BI98" i="9"/>
  <c r="BK98" i="9"/>
  <c r="BL98" i="9"/>
  <c r="BJ98" i="9"/>
  <c r="BF98" i="9"/>
  <c r="BI102" i="9"/>
  <c r="BK102" i="9"/>
  <c r="BL102" i="9"/>
  <c r="BJ102" i="9"/>
  <c r="BF102" i="9"/>
  <c r="BI106" i="9"/>
  <c r="BK106" i="9"/>
  <c r="BL106" i="9"/>
  <c r="BJ106" i="9"/>
  <c r="BF106" i="9"/>
  <c r="V112" i="9"/>
  <c r="E119" i="9"/>
  <c r="CZ76" i="9"/>
  <c r="D117" i="9"/>
  <c r="DB76" i="9"/>
  <c r="E117" i="9"/>
  <c r="BW108" i="9"/>
  <c r="BV108" i="9"/>
  <c r="BV104" i="9"/>
  <c r="BW104" i="9"/>
  <c r="BV100" i="9"/>
  <c r="BW100" i="9"/>
  <c r="BV96" i="9"/>
  <c r="BW96" i="9"/>
  <c r="BV92" i="9"/>
  <c r="BW92" i="9"/>
  <c r="BV88" i="9"/>
  <c r="BW88" i="9"/>
  <c r="BV84" i="9"/>
  <c r="BW84" i="9"/>
  <c r="BT109" i="9"/>
  <c r="BU109" i="9"/>
  <c r="BR109" i="9"/>
  <c r="BT105" i="9"/>
  <c r="BU105" i="9"/>
  <c r="BR105" i="9"/>
  <c r="BR101" i="9"/>
  <c r="BU101" i="9"/>
  <c r="BT101" i="9"/>
  <c r="BR97" i="9"/>
  <c r="BU97" i="9"/>
  <c r="BT97" i="9"/>
  <c r="BR93" i="9"/>
  <c r="BT93" i="9"/>
  <c r="BU93" i="9"/>
  <c r="BR89" i="9"/>
  <c r="BU89" i="9"/>
  <c r="BT89" i="9"/>
  <c r="BU85" i="9"/>
  <c r="BT85" i="9"/>
  <c r="BR85" i="9"/>
  <c r="BU81" i="9"/>
  <c r="BT81" i="9"/>
  <c r="BR81" i="9"/>
  <c r="BW109" i="9"/>
  <c r="BV109" i="9"/>
  <c r="BV105" i="9"/>
  <c r="BW105" i="9"/>
  <c r="BV101" i="9"/>
  <c r="BW101" i="9"/>
  <c r="BV97" i="9"/>
  <c r="BW97" i="9"/>
  <c r="BV93" i="9"/>
  <c r="BW93" i="9"/>
  <c r="BV89" i="9"/>
  <c r="BW89" i="9"/>
  <c r="BV85" i="9"/>
  <c r="BW85" i="9"/>
  <c r="BV81" i="9"/>
  <c r="BW81" i="9"/>
  <c r="BS110" i="9"/>
  <c r="BS106" i="9"/>
  <c r="BS102" i="9"/>
  <c r="BS98" i="9"/>
  <c r="BS94" i="9"/>
  <c r="BS90" i="9"/>
  <c r="BS86" i="9"/>
  <c r="BS82" i="9"/>
  <c r="CG76" i="9"/>
  <c r="E116" i="9"/>
  <c r="AZ87" i="9"/>
  <c r="AY87" i="9"/>
  <c r="AW87" i="9"/>
  <c r="AZ95" i="9"/>
  <c r="AY95" i="9"/>
  <c r="AW95" i="9"/>
  <c r="AZ84" i="9"/>
  <c r="AY84" i="9"/>
  <c r="AW84" i="9"/>
  <c r="AY92" i="9"/>
  <c r="AZ92" i="9"/>
  <c r="AW92" i="9"/>
  <c r="BI80" i="9"/>
  <c r="BK80" i="9"/>
  <c r="BJ80" i="9"/>
  <c r="BL80" i="9"/>
  <c r="BF80" i="9"/>
  <c r="BI108" i="9"/>
  <c r="BK108" i="9"/>
  <c r="BF108" i="9"/>
  <c r="BL108" i="9"/>
  <c r="BJ108" i="9"/>
  <c r="AQ76" i="9"/>
  <c r="E114" i="9"/>
  <c r="AQ111" i="9"/>
  <c r="T76" i="9"/>
  <c r="D113" i="9"/>
  <c r="DK104" i="9"/>
  <c r="DJ104" i="9"/>
  <c r="DH104" i="9"/>
  <c r="DK96" i="9"/>
  <c r="DJ96" i="9"/>
  <c r="DH96" i="9"/>
  <c r="DJ88" i="9"/>
  <c r="DK88" i="9"/>
  <c r="DH88" i="9"/>
  <c r="CD94" i="9"/>
  <c r="CF94" i="9"/>
  <c r="CE94" i="9"/>
  <c r="CG94" i="9"/>
  <c r="CA94" i="9"/>
  <c r="CD102" i="9"/>
  <c r="CF102" i="9"/>
  <c r="CE102" i="9"/>
  <c r="CG102" i="9"/>
  <c r="CA102" i="9"/>
  <c r="CP104" i="9"/>
  <c r="CO104" i="9"/>
  <c r="CM104" i="9"/>
  <c r="CP96" i="9"/>
  <c r="CO96" i="9"/>
  <c r="CM96" i="9"/>
  <c r="CP88" i="9"/>
  <c r="CO88" i="9"/>
  <c r="CM88" i="9"/>
  <c r="CP84" i="9"/>
  <c r="CO84" i="9"/>
  <c r="CM84" i="9"/>
  <c r="CD85" i="9"/>
  <c r="CF85" i="9"/>
  <c r="CG85" i="9"/>
  <c r="CA85" i="9"/>
  <c r="CE85" i="9"/>
  <c r="CD89" i="9"/>
  <c r="CF89" i="9"/>
  <c r="CG89" i="9"/>
  <c r="CA89" i="9"/>
  <c r="CE89" i="9"/>
  <c r="CD101" i="9"/>
  <c r="CF101" i="9"/>
  <c r="CG101" i="9"/>
  <c r="CA101" i="9"/>
  <c r="CE101" i="9"/>
  <c r="DK108" i="9"/>
  <c r="DJ108" i="9"/>
  <c r="DH108" i="9"/>
  <c r="DK100" i="9"/>
  <c r="DJ100" i="9"/>
  <c r="DH100" i="9"/>
  <c r="DJ92" i="9"/>
  <c r="DK92" i="9"/>
  <c r="DH92" i="9"/>
  <c r="DJ84" i="9"/>
  <c r="DK84" i="9"/>
  <c r="DH84" i="9"/>
  <c r="CD86" i="9"/>
  <c r="CF86" i="9"/>
  <c r="CE86" i="9"/>
  <c r="CG86" i="9"/>
  <c r="CA86" i="9"/>
  <c r="CP108" i="9"/>
  <c r="CO108" i="9"/>
  <c r="CM108" i="9"/>
  <c r="CP100" i="9"/>
  <c r="CO100" i="9"/>
  <c r="CM100" i="9"/>
  <c r="CP92" i="9"/>
  <c r="CO92" i="9"/>
  <c r="CM92" i="9"/>
  <c r="CD93" i="9"/>
  <c r="CF93" i="9"/>
  <c r="CG93" i="9"/>
  <c r="CA93" i="9"/>
  <c r="CE93" i="9"/>
  <c r="CD97" i="9"/>
  <c r="CF97" i="9"/>
  <c r="CG97" i="9"/>
  <c r="CA97" i="9"/>
  <c r="CE97" i="9"/>
  <c r="CD82" i="9"/>
  <c r="CF82" i="9"/>
  <c r="CE82" i="9"/>
  <c r="CG82" i="9"/>
  <c r="CA82" i="9"/>
  <c r="CD90" i="9"/>
  <c r="CF90" i="9"/>
  <c r="CE90" i="9"/>
  <c r="CG90" i="9"/>
  <c r="CA90" i="9"/>
  <c r="CD98" i="9"/>
  <c r="CF98" i="9"/>
  <c r="CE98" i="9"/>
  <c r="CG98" i="9"/>
  <c r="CA98" i="9"/>
  <c r="BU86" i="9"/>
  <c r="BT86" i="9"/>
  <c r="BR86" i="9"/>
  <c r="BU102" i="9"/>
  <c r="BT102" i="9"/>
  <c r="BR102" i="9"/>
  <c r="CD88" i="9"/>
  <c r="CF88" i="9"/>
  <c r="CE88" i="9"/>
  <c r="CG88" i="9"/>
  <c r="CA88" i="9"/>
  <c r="CD96" i="9"/>
  <c r="CF96" i="9"/>
  <c r="CE96" i="9"/>
  <c r="CG96" i="9"/>
  <c r="CA96" i="9"/>
  <c r="CD104" i="9"/>
  <c r="CF104" i="9"/>
  <c r="CE104" i="9"/>
  <c r="CG104" i="9"/>
  <c r="CA104" i="9"/>
  <c r="DL110" i="9"/>
  <c r="DM110" i="9"/>
  <c r="DL106" i="9"/>
  <c r="DM106" i="9"/>
  <c r="DL102" i="9"/>
  <c r="DM102" i="9"/>
  <c r="DL98" i="9"/>
  <c r="DM98" i="9"/>
  <c r="DL94" i="9"/>
  <c r="DM94" i="9"/>
  <c r="DL90" i="9"/>
  <c r="DM90" i="9"/>
  <c r="DL86" i="9"/>
  <c r="DM86" i="9"/>
  <c r="DL82" i="9"/>
  <c r="DM82" i="9"/>
  <c r="DK109" i="9"/>
  <c r="DH109" i="9"/>
  <c r="DJ109" i="9"/>
  <c r="DK105" i="9"/>
  <c r="DH105" i="9"/>
  <c r="DJ105" i="9"/>
  <c r="DJ101" i="9"/>
  <c r="DK101" i="9"/>
  <c r="DH101" i="9"/>
  <c r="DH97" i="9"/>
  <c r="DK97" i="9"/>
  <c r="DJ97" i="9"/>
  <c r="DH93" i="9"/>
  <c r="DK93" i="9"/>
  <c r="DJ93" i="9"/>
  <c r="DH89" i="9"/>
  <c r="DJ89" i="9"/>
  <c r="DK89" i="9"/>
  <c r="DH85" i="9"/>
  <c r="DJ85" i="9"/>
  <c r="DK85" i="9"/>
  <c r="DK81" i="9"/>
  <c r="DJ81" i="9"/>
  <c r="DH81" i="9"/>
  <c r="DL109" i="9"/>
  <c r="DM109" i="9"/>
  <c r="DL105" i="9"/>
  <c r="DM105" i="9"/>
  <c r="DL101" i="9"/>
  <c r="DM101" i="9"/>
  <c r="DL97" i="9"/>
  <c r="DM97" i="9"/>
  <c r="DL93" i="9"/>
  <c r="DM93" i="9"/>
  <c r="DL89" i="9"/>
  <c r="DM89" i="9"/>
  <c r="DL85" i="9"/>
  <c r="DM85" i="9"/>
  <c r="DL81" i="9"/>
  <c r="DM81" i="9"/>
  <c r="CD83" i="9"/>
  <c r="CF83" i="9"/>
  <c r="CE83" i="9"/>
  <c r="CG83" i="9"/>
  <c r="CA83" i="9"/>
  <c r="CD87" i="9"/>
  <c r="CF87" i="9"/>
  <c r="CE87" i="9"/>
  <c r="CG87" i="9"/>
  <c r="CA87" i="9"/>
  <c r="CD91" i="9"/>
  <c r="CF91" i="9"/>
  <c r="CE91" i="9"/>
  <c r="CG91" i="9"/>
  <c r="CA91" i="9"/>
  <c r="CD95" i="9"/>
  <c r="CF95" i="9"/>
  <c r="CE95" i="9"/>
  <c r="CG95" i="9"/>
  <c r="CA95" i="9"/>
  <c r="CD99" i="9"/>
  <c r="CF99" i="9"/>
  <c r="CE99" i="9"/>
  <c r="CG99" i="9"/>
  <c r="CA99" i="9"/>
  <c r="CD103" i="9"/>
  <c r="CF103" i="9"/>
  <c r="CE103" i="9"/>
  <c r="CG103" i="9"/>
  <c r="CA103" i="9"/>
  <c r="CD107" i="9"/>
  <c r="CF107" i="9"/>
  <c r="CE107" i="9"/>
  <c r="CG107" i="9"/>
  <c r="CA107" i="9"/>
  <c r="CD80" i="9"/>
  <c r="CF80" i="9"/>
  <c r="CE80" i="9"/>
  <c r="CG80" i="9"/>
  <c r="CA80" i="9"/>
  <c r="CR110" i="9"/>
  <c r="CQ110" i="9"/>
  <c r="CQ106" i="9"/>
  <c r="CR106" i="9"/>
  <c r="CQ102" i="9"/>
  <c r="CR102" i="9"/>
  <c r="CQ98" i="9"/>
  <c r="CR98" i="9"/>
  <c r="CQ94" i="9"/>
  <c r="CR94" i="9"/>
  <c r="CQ90" i="9"/>
  <c r="CR90" i="9"/>
  <c r="CQ86" i="9"/>
  <c r="CR86" i="9"/>
  <c r="CR82" i="9"/>
  <c r="CQ82" i="9"/>
  <c r="CO80" i="9"/>
  <c r="CM80" i="9"/>
  <c r="CP80" i="9"/>
  <c r="CP107" i="9"/>
  <c r="CM107" i="9"/>
  <c r="CO107" i="9"/>
  <c r="CP103" i="9"/>
  <c r="CO103" i="9"/>
  <c r="CP99" i="9"/>
  <c r="CM99" i="9"/>
  <c r="CO99" i="9"/>
  <c r="CP95" i="9"/>
  <c r="CO95" i="9"/>
  <c r="CO91" i="9"/>
  <c r="CP91" i="9"/>
  <c r="CO87" i="9"/>
  <c r="CP87" i="9"/>
  <c r="CP83" i="9"/>
  <c r="CO83" i="9"/>
  <c r="CQ80" i="9"/>
  <c r="CR80" i="9"/>
  <c r="CQ107" i="9"/>
  <c r="CR107" i="9"/>
  <c r="CQ103" i="9"/>
  <c r="CR103" i="9"/>
  <c r="CQ99" i="9"/>
  <c r="CR99" i="9"/>
  <c r="CQ95" i="9"/>
  <c r="CR95" i="9"/>
  <c r="CQ91" i="9"/>
  <c r="CR91" i="9"/>
  <c r="CQ87" i="9"/>
  <c r="CR87" i="9"/>
  <c r="CQ83" i="9"/>
  <c r="CR83" i="9"/>
  <c r="BF111" i="9"/>
  <c r="BK111" i="9"/>
  <c r="BU94" i="9"/>
  <c r="BT94" i="9"/>
  <c r="BR94" i="9"/>
  <c r="BT110" i="9"/>
  <c r="BU110" i="9"/>
  <c r="BR110" i="9"/>
  <c r="CD84" i="9"/>
  <c r="CF84" i="9"/>
  <c r="CE84" i="9"/>
  <c r="CG84" i="9"/>
  <c r="CA84" i="9"/>
  <c r="CD92" i="9"/>
  <c r="CF92" i="9"/>
  <c r="CE92" i="9"/>
  <c r="CG92" i="9"/>
  <c r="CA92" i="9"/>
  <c r="CD100" i="9"/>
  <c r="CF100" i="9"/>
  <c r="CE100" i="9"/>
  <c r="CG100" i="9"/>
  <c r="CA100" i="9"/>
  <c r="CD108" i="9"/>
  <c r="CF108" i="9"/>
  <c r="CA108" i="9"/>
  <c r="CE108" i="9"/>
  <c r="CG108" i="9"/>
  <c r="BU82" i="9"/>
  <c r="BT82" i="9"/>
  <c r="BR82" i="9"/>
  <c r="BU90" i="9"/>
  <c r="BT90" i="9"/>
  <c r="BR90" i="9"/>
  <c r="BU98" i="9"/>
  <c r="BT98" i="9"/>
  <c r="BR98" i="9"/>
  <c r="BT106" i="9"/>
  <c r="BU106" i="9"/>
  <c r="BR106" i="9"/>
  <c r="CD81" i="9"/>
  <c r="CF81" i="9"/>
  <c r="CG81" i="9"/>
  <c r="CA81" i="9"/>
  <c r="CE81" i="9"/>
  <c r="CD105" i="9"/>
  <c r="CF105" i="9"/>
  <c r="CG105" i="9"/>
  <c r="CA105" i="9"/>
  <c r="CE105" i="9"/>
  <c r="CD109" i="9"/>
  <c r="CF109" i="9"/>
  <c r="CG109" i="9"/>
  <c r="CA109" i="9"/>
  <c r="CE109" i="9"/>
  <c r="AQ112" i="9"/>
  <c r="E120" i="9"/>
  <c r="DL108" i="9"/>
  <c r="DM108" i="9"/>
  <c r="DL104" i="9"/>
  <c r="DM104" i="9"/>
  <c r="DL100" i="9"/>
  <c r="DM100" i="9"/>
  <c r="DL96" i="9"/>
  <c r="DM96" i="9"/>
  <c r="DL92" i="9"/>
  <c r="DM92" i="9"/>
  <c r="DL88" i="9"/>
  <c r="DM88" i="9"/>
  <c r="DL84" i="9"/>
  <c r="DM84" i="9"/>
  <c r="DJ80" i="9"/>
  <c r="DH80" i="9"/>
  <c r="DK80" i="9"/>
  <c r="DK107" i="9"/>
  <c r="DH107" i="9"/>
  <c r="DJ107" i="9"/>
  <c r="DH103" i="9"/>
  <c r="DK103" i="9"/>
  <c r="DJ103" i="9"/>
  <c r="DH99" i="9"/>
  <c r="DK99" i="9"/>
  <c r="DJ99" i="9"/>
  <c r="DH95" i="9"/>
  <c r="DK95" i="9"/>
  <c r="DJ95" i="9"/>
  <c r="DH91" i="9"/>
  <c r="DJ91" i="9"/>
  <c r="DK91" i="9"/>
  <c r="DH87" i="9"/>
  <c r="DJ87" i="9"/>
  <c r="DK87" i="9"/>
  <c r="DJ83" i="9"/>
  <c r="DH83" i="9"/>
  <c r="DK83" i="9"/>
  <c r="DL80" i="9"/>
  <c r="DM80" i="9"/>
  <c r="DL107" i="9"/>
  <c r="DM107" i="9"/>
  <c r="DL103" i="9"/>
  <c r="DM103" i="9"/>
  <c r="DL99" i="9"/>
  <c r="DM99" i="9"/>
  <c r="DL95" i="9"/>
  <c r="DM95" i="9"/>
  <c r="DL91" i="9"/>
  <c r="DM91" i="9"/>
  <c r="DL87" i="9"/>
  <c r="DM87" i="9"/>
  <c r="DL83" i="9"/>
  <c r="DM83" i="9"/>
  <c r="DI110" i="9"/>
  <c r="DI106" i="9"/>
  <c r="DI102" i="9"/>
  <c r="DI98" i="9"/>
  <c r="DI94" i="9"/>
  <c r="DI90" i="9"/>
  <c r="DI86" i="9"/>
  <c r="DI82" i="9"/>
  <c r="CD106" i="9"/>
  <c r="CF106" i="9"/>
  <c r="CE106" i="9"/>
  <c r="CG106" i="9"/>
  <c r="CA106" i="9"/>
  <c r="CD110" i="9"/>
  <c r="CF110" i="9"/>
  <c r="CE110" i="9"/>
  <c r="CG110" i="9"/>
  <c r="CA110" i="9"/>
  <c r="CQ108" i="9"/>
  <c r="CR108" i="9"/>
  <c r="CQ104" i="9"/>
  <c r="CR104" i="9"/>
  <c r="CQ100" i="9"/>
  <c r="CR100" i="9"/>
  <c r="CQ96" i="9"/>
  <c r="CR96" i="9"/>
  <c r="CQ92" i="9"/>
  <c r="CR92" i="9"/>
  <c r="CQ88" i="9"/>
  <c r="CR88" i="9"/>
  <c r="CQ84" i="9"/>
  <c r="CR84" i="9"/>
  <c r="CP109" i="9"/>
  <c r="CM109" i="9"/>
  <c r="CO109" i="9"/>
  <c r="CO105" i="9"/>
  <c r="CP105" i="9"/>
  <c r="CM105" i="9"/>
  <c r="CO101" i="9"/>
  <c r="CP101" i="9"/>
  <c r="CM101" i="9"/>
  <c r="CP97" i="9"/>
  <c r="CO97" i="9"/>
  <c r="CP93" i="9"/>
  <c r="CO93" i="9"/>
  <c r="CP89" i="9"/>
  <c r="CO89" i="9"/>
  <c r="CO85" i="9"/>
  <c r="CM85" i="9"/>
  <c r="CP85" i="9"/>
  <c r="CP81" i="9"/>
  <c r="CO81" i="9"/>
  <c r="CM81" i="9"/>
  <c r="CR109" i="9"/>
  <c r="CQ109" i="9"/>
  <c r="CR105" i="9"/>
  <c r="CQ105" i="9"/>
  <c r="CQ101" i="9"/>
  <c r="CR101" i="9"/>
  <c r="CQ97" i="9"/>
  <c r="CR97" i="9"/>
  <c r="CQ93" i="9"/>
  <c r="CR93" i="9"/>
  <c r="CQ89" i="9"/>
  <c r="CR89" i="9"/>
  <c r="CQ85" i="9"/>
  <c r="CR85" i="9"/>
  <c r="CQ81" i="9"/>
  <c r="CR81" i="9"/>
  <c r="CM103" i="9"/>
  <c r="CM95" i="9"/>
  <c r="CM91" i="9"/>
  <c r="CM87" i="9"/>
  <c r="CM83" i="9"/>
  <c r="CN110" i="9"/>
  <c r="CN106" i="9"/>
  <c r="CN102" i="9"/>
  <c r="CN98" i="9"/>
  <c r="CN94" i="9"/>
  <c r="CN90" i="9"/>
  <c r="CN86" i="9"/>
  <c r="CN82" i="9"/>
  <c r="BJ111" i="9"/>
  <c r="BL111" i="9"/>
  <c r="BI111" i="9"/>
  <c r="BJ112" i="9"/>
  <c r="D121" i="9"/>
  <c r="L5" i="2"/>
  <c r="K5" i="2"/>
  <c r="F15" i="5"/>
  <c r="CA111" i="9"/>
  <c r="CY88" i="9"/>
  <c r="DA88" i="9"/>
  <c r="CZ88" i="9"/>
  <c r="DB88" i="9"/>
  <c r="CV88" i="9"/>
  <c r="DT87" i="9"/>
  <c r="DV87" i="9"/>
  <c r="DW87" i="9"/>
  <c r="DQ87" i="9"/>
  <c r="DU87" i="9"/>
  <c r="DT99" i="9"/>
  <c r="DV99" i="9"/>
  <c r="DW99" i="9"/>
  <c r="DQ99" i="9"/>
  <c r="DU99" i="9"/>
  <c r="DT96" i="9"/>
  <c r="DV96" i="9"/>
  <c r="DU96" i="9"/>
  <c r="DW96" i="9"/>
  <c r="DQ96" i="9"/>
  <c r="CY83" i="9"/>
  <c r="DA83" i="9"/>
  <c r="CZ83" i="9"/>
  <c r="DB83" i="9"/>
  <c r="CV83" i="9"/>
  <c r="CY91" i="9"/>
  <c r="DA91" i="9"/>
  <c r="CZ91" i="9"/>
  <c r="DB91" i="9"/>
  <c r="CV91" i="9"/>
  <c r="CY99" i="9"/>
  <c r="DA99" i="9"/>
  <c r="CZ99" i="9"/>
  <c r="DB99" i="9"/>
  <c r="CV99" i="9"/>
  <c r="CY86" i="9"/>
  <c r="DA86" i="9"/>
  <c r="DB86" i="9"/>
  <c r="CV86" i="9"/>
  <c r="CZ86" i="9"/>
  <c r="CY94" i="9"/>
  <c r="DA94" i="9"/>
  <c r="DB94" i="9"/>
  <c r="CV94" i="9"/>
  <c r="CZ94" i="9"/>
  <c r="CY102" i="9"/>
  <c r="DA102" i="9"/>
  <c r="DB102" i="9"/>
  <c r="CV102" i="9"/>
  <c r="CZ102" i="9"/>
  <c r="DT89" i="9"/>
  <c r="DV89" i="9"/>
  <c r="DU89" i="9"/>
  <c r="DW89" i="9"/>
  <c r="DQ89" i="9"/>
  <c r="DT93" i="9"/>
  <c r="DV93" i="9"/>
  <c r="DU93" i="9"/>
  <c r="DW93" i="9"/>
  <c r="DQ93" i="9"/>
  <c r="DT86" i="9"/>
  <c r="DV86" i="9"/>
  <c r="DQ86" i="9"/>
  <c r="DU86" i="9"/>
  <c r="DW86" i="9"/>
  <c r="DT94" i="9"/>
  <c r="DV94" i="9"/>
  <c r="DQ94" i="9"/>
  <c r="DU94" i="9"/>
  <c r="DW94" i="9"/>
  <c r="DT102" i="9"/>
  <c r="DV102" i="9"/>
  <c r="DQ102" i="9"/>
  <c r="DU102" i="9"/>
  <c r="DW102" i="9"/>
  <c r="DT83" i="9"/>
  <c r="DV83" i="9"/>
  <c r="DW83" i="9"/>
  <c r="DQ83" i="9"/>
  <c r="DU83" i="9"/>
  <c r="DT91" i="9"/>
  <c r="DV91" i="9"/>
  <c r="DW91" i="9"/>
  <c r="DQ91" i="9"/>
  <c r="DU91" i="9"/>
  <c r="DT95" i="9"/>
  <c r="DV95" i="9"/>
  <c r="DW95" i="9"/>
  <c r="DQ95" i="9"/>
  <c r="DU95" i="9"/>
  <c r="DT103" i="9"/>
  <c r="DV103" i="9"/>
  <c r="DW103" i="9"/>
  <c r="DQ103" i="9"/>
  <c r="DU103" i="9"/>
  <c r="DT100" i="9"/>
  <c r="DV100" i="9"/>
  <c r="DU100" i="9"/>
  <c r="DW100" i="9"/>
  <c r="DQ100" i="9"/>
  <c r="CY87" i="9"/>
  <c r="DA87" i="9"/>
  <c r="CZ87" i="9"/>
  <c r="DB87" i="9"/>
  <c r="CV87" i="9"/>
  <c r="CY95" i="9"/>
  <c r="DA95" i="9"/>
  <c r="CZ95" i="9"/>
  <c r="DB95" i="9"/>
  <c r="CV95" i="9"/>
  <c r="CY103" i="9"/>
  <c r="DA103" i="9"/>
  <c r="CZ103" i="9"/>
  <c r="DB103" i="9"/>
  <c r="CV103" i="9"/>
  <c r="CY90" i="9"/>
  <c r="DA90" i="9"/>
  <c r="DB90" i="9"/>
  <c r="CV90" i="9"/>
  <c r="CZ90" i="9"/>
  <c r="CY98" i="9"/>
  <c r="DA98" i="9"/>
  <c r="DB98" i="9"/>
  <c r="CV98" i="9"/>
  <c r="CZ98" i="9"/>
  <c r="DT85" i="9"/>
  <c r="DV85" i="9"/>
  <c r="DU85" i="9"/>
  <c r="DW85" i="9"/>
  <c r="DQ85" i="9"/>
  <c r="DT97" i="9"/>
  <c r="DV97" i="9"/>
  <c r="DU97" i="9"/>
  <c r="DW97" i="9"/>
  <c r="DQ97" i="9"/>
  <c r="DT101" i="9"/>
  <c r="DV101" i="9"/>
  <c r="DU101" i="9"/>
  <c r="DW101" i="9"/>
  <c r="DQ101" i="9"/>
  <c r="DT90" i="9"/>
  <c r="DV90" i="9"/>
  <c r="DQ90" i="9"/>
  <c r="DU90" i="9"/>
  <c r="DW90" i="9"/>
  <c r="DT98" i="9"/>
  <c r="DV98" i="9"/>
  <c r="DQ98" i="9"/>
  <c r="DU98" i="9"/>
  <c r="DW98" i="9"/>
  <c r="CO90" i="9"/>
  <c r="CP90" i="9"/>
  <c r="CM90" i="9"/>
  <c r="CO106" i="9"/>
  <c r="CP106" i="9"/>
  <c r="CM106" i="9"/>
  <c r="CY85" i="9"/>
  <c r="DA85" i="9"/>
  <c r="CV85" i="9"/>
  <c r="CZ85" i="9"/>
  <c r="DB85" i="9"/>
  <c r="CO86" i="9"/>
  <c r="CP86" i="9"/>
  <c r="CM86" i="9"/>
  <c r="CP94" i="9"/>
  <c r="CO94" i="9"/>
  <c r="CM94" i="9"/>
  <c r="CO102" i="9"/>
  <c r="CP102" i="9"/>
  <c r="CM102" i="9"/>
  <c r="CP110" i="9"/>
  <c r="CM110" i="9"/>
  <c r="CO110" i="9"/>
  <c r="DK86" i="9"/>
  <c r="DJ86" i="9"/>
  <c r="DH86" i="9"/>
  <c r="DJ94" i="9"/>
  <c r="DK94" i="9"/>
  <c r="DH94" i="9"/>
  <c r="DJ102" i="9"/>
  <c r="DK102" i="9"/>
  <c r="DH102" i="9"/>
  <c r="DJ110" i="9"/>
  <c r="DK110" i="9"/>
  <c r="DH110" i="9"/>
  <c r="DT107" i="9"/>
  <c r="DV107" i="9"/>
  <c r="DW107" i="9"/>
  <c r="DQ107" i="9"/>
  <c r="DU107" i="9"/>
  <c r="DT80" i="9"/>
  <c r="DV80" i="9"/>
  <c r="DW80" i="9"/>
  <c r="DQ80" i="9"/>
  <c r="DU80" i="9"/>
  <c r="CE111" i="9"/>
  <c r="CG111" i="9"/>
  <c r="BL112" i="9"/>
  <c r="E121" i="9"/>
  <c r="CY107" i="9"/>
  <c r="DA107" i="9"/>
  <c r="CZ107" i="9"/>
  <c r="DB107" i="9"/>
  <c r="CV107" i="9"/>
  <c r="CY80" i="9"/>
  <c r="DA80" i="9"/>
  <c r="CZ80" i="9"/>
  <c r="DB80" i="9"/>
  <c r="CV80" i="9"/>
  <c r="CY82" i="9"/>
  <c r="DA82" i="9"/>
  <c r="DB82" i="9"/>
  <c r="CV82" i="9"/>
  <c r="CZ82" i="9"/>
  <c r="CY106" i="9"/>
  <c r="DA106" i="9"/>
  <c r="DB106" i="9"/>
  <c r="CV106" i="9"/>
  <c r="CZ106" i="9"/>
  <c r="CY110" i="9"/>
  <c r="DA110" i="9"/>
  <c r="DB110" i="9"/>
  <c r="CV110" i="9"/>
  <c r="CZ110" i="9"/>
  <c r="DT81" i="9"/>
  <c r="DV81" i="9"/>
  <c r="DU81" i="9"/>
  <c r="DQ81" i="9"/>
  <c r="DW81" i="9"/>
  <c r="DT105" i="9"/>
  <c r="DV105" i="9"/>
  <c r="DU105" i="9"/>
  <c r="DW105" i="9"/>
  <c r="DQ105" i="9"/>
  <c r="DT109" i="9"/>
  <c r="DV109" i="9"/>
  <c r="DU109" i="9"/>
  <c r="DW109" i="9"/>
  <c r="DQ109" i="9"/>
  <c r="DT82" i="9"/>
  <c r="DV82" i="9"/>
  <c r="DQ82" i="9"/>
  <c r="DU82" i="9"/>
  <c r="DW82" i="9"/>
  <c r="DT106" i="9"/>
  <c r="DV106" i="9"/>
  <c r="DQ106" i="9"/>
  <c r="DU106" i="9"/>
  <c r="DW106" i="9"/>
  <c r="DT110" i="9"/>
  <c r="DV110" i="9"/>
  <c r="DQ110" i="9"/>
  <c r="DU110" i="9"/>
  <c r="DW110" i="9"/>
  <c r="CO82" i="9"/>
  <c r="CP82" i="9"/>
  <c r="CM82" i="9"/>
  <c r="CP98" i="9"/>
  <c r="CO98" i="9"/>
  <c r="CM98" i="9"/>
  <c r="CY81" i="9"/>
  <c r="DA81" i="9"/>
  <c r="CV81" i="9"/>
  <c r="CZ81" i="9"/>
  <c r="DB81" i="9"/>
  <c r="CY89" i="9"/>
  <c r="DA89" i="9"/>
  <c r="CV89" i="9"/>
  <c r="CZ89" i="9"/>
  <c r="DB89" i="9"/>
  <c r="CY93" i="9"/>
  <c r="DA93" i="9"/>
  <c r="CV93" i="9"/>
  <c r="CZ93" i="9"/>
  <c r="DB93" i="9"/>
  <c r="CY97" i="9"/>
  <c r="DA97" i="9"/>
  <c r="CV97" i="9"/>
  <c r="CZ97" i="9"/>
  <c r="DB97" i="9"/>
  <c r="CY101" i="9"/>
  <c r="DA101" i="9"/>
  <c r="CV101" i="9"/>
  <c r="CZ101" i="9"/>
  <c r="DB101" i="9"/>
  <c r="CY105" i="9"/>
  <c r="DA105" i="9"/>
  <c r="CV105" i="9"/>
  <c r="CZ105" i="9"/>
  <c r="DB105" i="9"/>
  <c r="CY109" i="9"/>
  <c r="DA109" i="9"/>
  <c r="CV109" i="9"/>
  <c r="CZ109" i="9"/>
  <c r="DB109" i="9"/>
  <c r="CY84" i="9"/>
  <c r="DA84" i="9"/>
  <c r="CZ84" i="9"/>
  <c r="DB84" i="9"/>
  <c r="CV84" i="9"/>
  <c r="CY92" i="9"/>
  <c r="DA92" i="9"/>
  <c r="CZ92" i="9"/>
  <c r="DB92" i="9"/>
  <c r="CV92" i="9"/>
  <c r="CY96" i="9"/>
  <c r="DA96" i="9"/>
  <c r="CZ96" i="9"/>
  <c r="DB96" i="9"/>
  <c r="CV96" i="9"/>
  <c r="CY100" i="9"/>
  <c r="DA100" i="9"/>
  <c r="CZ100" i="9"/>
  <c r="DB100" i="9"/>
  <c r="CV100" i="9"/>
  <c r="CY104" i="9"/>
  <c r="DA104" i="9"/>
  <c r="CZ104" i="9"/>
  <c r="DB104" i="9"/>
  <c r="CV104" i="9"/>
  <c r="CY108" i="9"/>
  <c r="DA108" i="9"/>
  <c r="CZ108" i="9"/>
  <c r="DB108" i="9"/>
  <c r="CV108" i="9"/>
  <c r="DK82" i="9"/>
  <c r="DJ82" i="9"/>
  <c r="DH82" i="9"/>
  <c r="DJ90" i="9"/>
  <c r="DK90" i="9"/>
  <c r="DH90" i="9"/>
  <c r="DJ98" i="9"/>
  <c r="DK98" i="9"/>
  <c r="DH98" i="9"/>
  <c r="DK106" i="9"/>
  <c r="DJ106" i="9"/>
  <c r="DH106" i="9"/>
  <c r="DT84" i="9"/>
  <c r="DV84" i="9"/>
  <c r="DU84" i="9"/>
  <c r="DW84" i="9"/>
  <c r="DQ84" i="9"/>
  <c r="DT88" i="9"/>
  <c r="DV88" i="9"/>
  <c r="DU88" i="9"/>
  <c r="DW88" i="9"/>
  <c r="DQ88" i="9"/>
  <c r="DT92" i="9"/>
  <c r="DV92" i="9"/>
  <c r="DU92" i="9"/>
  <c r="DW92" i="9"/>
  <c r="DQ92" i="9"/>
  <c r="DT104" i="9"/>
  <c r="DV104" i="9"/>
  <c r="DU104" i="9"/>
  <c r="DW104" i="9"/>
  <c r="DQ104" i="9"/>
  <c r="DT108" i="9"/>
  <c r="DV108" i="9"/>
  <c r="DU108" i="9"/>
  <c r="DW108" i="9"/>
  <c r="DQ108" i="9"/>
  <c r="CD111" i="9"/>
  <c r="CF111" i="9"/>
  <c r="CG112" i="9"/>
  <c r="E122" i="9"/>
  <c r="DV111" i="9"/>
  <c r="DB111" i="9"/>
  <c r="CV111" i="9"/>
  <c r="DA111" i="9"/>
  <c r="DB112" i="9"/>
  <c r="E123" i="9"/>
  <c r="DW111" i="9"/>
  <c r="CZ111" i="9"/>
  <c r="CY111" i="9"/>
  <c r="DQ111" i="9"/>
  <c r="DU111" i="9"/>
  <c r="DT111" i="9"/>
  <c r="CE112" i="9"/>
  <c r="D122" i="9"/>
  <c r="L4" i="6"/>
  <c r="L3" i="6"/>
  <c r="DW112" i="9"/>
  <c r="E124" i="9"/>
  <c r="DU112" i="9"/>
  <c r="D124" i="9"/>
  <c r="E126" i="9"/>
  <c r="E125" i="9"/>
  <c r="Q26" i="2"/>
  <c r="CZ112" i="9"/>
  <c r="D123" i="9"/>
  <c r="D125" i="9"/>
  <c r="Q25" i="2"/>
  <c r="H13" i="5"/>
  <c r="E19" i="5"/>
  <c r="C27" i="5" s="1"/>
  <c r="J26" i="2"/>
  <c r="D126" i="9"/>
  <c r="A34" i="7"/>
  <c r="K3" i="2"/>
  <c r="L2" i="7"/>
  <c r="L6" i="6"/>
  <c r="F35" i="5"/>
  <c r="H35" i="5"/>
  <c r="AB30" i="5"/>
  <c r="AB29" i="5"/>
  <c r="AB28" i="5"/>
  <c r="AB27" i="5"/>
  <c r="AB26" i="5"/>
  <c r="AB25" i="5"/>
  <c r="AB24" i="5"/>
  <c r="AB23" i="5"/>
  <c r="AB22" i="5"/>
  <c r="AB21" i="5"/>
  <c r="AB20" i="5"/>
  <c r="AB19" i="5"/>
  <c r="AB18" i="5"/>
  <c r="AB17" i="5"/>
  <c r="AB16" i="5"/>
  <c r="AB15" i="5"/>
  <c r="AB14" i="5"/>
  <c r="AB13" i="5"/>
  <c r="AB12" i="5"/>
  <c r="AB11" i="5"/>
  <c r="AB10" i="5"/>
  <c r="AB9" i="5"/>
  <c r="AB8" i="5"/>
  <c r="AB7" i="5"/>
  <c r="AB6" i="5"/>
  <c r="AB5" i="5"/>
  <c r="AB4" i="5"/>
  <c r="AB32" i="5" s="1"/>
  <c r="AB3" i="5"/>
  <c r="AB2" i="5"/>
  <c r="AB1" i="5"/>
  <c r="AB31" i="5"/>
  <c r="L10" i="5"/>
  <c r="F36" i="5"/>
  <c r="H36" i="5" s="1"/>
  <c r="H2" i="7"/>
  <c r="H6" i="7"/>
  <c r="H8" i="7"/>
  <c r="H10" i="7"/>
  <c r="H12" i="7"/>
  <c r="H14" i="7"/>
  <c r="H16" i="7"/>
  <c r="H18" i="7"/>
  <c r="H20" i="7"/>
  <c r="H22" i="7"/>
  <c r="H24" i="7"/>
  <c r="H26" i="7"/>
  <c r="H28" i="7"/>
  <c r="H30" i="7"/>
  <c r="H32" i="7"/>
  <c r="H3" i="7"/>
  <c r="H5" i="7"/>
  <c r="H7" i="7"/>
  <c r="H9" i="7"/>
  <c r="H11" i="7"/>
  <c r="H13" i="7"/>
  <c r="H15" i="7"/>
  <c r="H17" i="7"/>
  <c r="H19" i="7"/>
  <c r="H21" i="7"/>
  <c r="H23" i="7"/>
  <c r="H25" i="7"/>
  <c r="H27" i="7"/>
  <c r="H29" i="7"/>
  <c r="H31" i="7"/>
  <c r="G18" i="4"/>
  <c r="C36" i="5"/>
  <c r="D36" i="5" s="1"/>
  <c r="E21" i="5" l="1"/>
  <c r="H27" i="5"/>
  <c r="J15" i="2" s="1"/>
  <c r="E27" i="5"/>
  <c r="F10" i="6"/>
  <c r="E11" i="2"/>
  <c r="E12" i="2"/>
  <c r="E13" i="2"/>
  <c r="E10" i="2"/>
  <c r="C25" i="5"/>
  <c r="H25" i="5" l="1"/>
  <c r="K4" i="2" s="1"/>
  <c r="L7" i="6"/>
  <c r="E25" i="5"/>
  <c r="C20" i="8"/>
  <c r="L3" i="7"/>
  <c r="F11" i="6"/>
  <c r="C8" i="8"/>
  <c r="H21" i="5"/>
  <c r="F16" i="6"/>
  <c r="I21" i="5"/>
  <c r="F12" i="6" l="1"/>
  <c r="F13" i="6"/>
  <c r="E16" i="2" s="1"/>
  <c r="K19" i="2"/>
  <c r="L19" i="2" s="1"/>
  <c r="C23" i="8"/>
  <c r="C21" i="8"/>
  <c r="F17" i="6"/>
  <c r="G16" i="6"/>
  <c r="C11" i="8"/>
  <c r="C9" i="8"/>
  <c r="C18" i="7"/>
  <c r="C28" i="7"/>
  <c r="B19" i="7"/>
  <c r="B21" i="7"/>
  <c r="B23" i="7"/>
  <c r="B25" i="7"/>
  <c r="B27" i="7"/>
  <c r="B29" i="7"/>
  <c r="B31" i="7"/>
  <c r="C26" i="7"/>
  <c r="B3" i="7"/>
  <c r="B5" i="7"/>
  <c r="B7" i="7"/>
  <c r="C7" i="7" s="1"/>
  <c r="B9" i="7"/>
  <c r="B11" i="7"/>
  <c r="C11" i="7" s="1"/>
  <c r="B13" i="7"/>
  <c r="C13" i="7" s="1"/>
  <c r="B15" i="7"/>
  <c r="B17" i="7"/>
  <c r="C17" i="7"/>
  <c r="C19" i="7"/>
  <c r="C21" i="7"/>
  <c r="C23" i="7"/>
  <c r="C29" i="7"/>
  <c r="B18" i="7"/>
  <c r="B20" i="7"/>
  <c r="B22" i="7"/>
  <c r="C22" i="7" s="1"/>
  <c r="B24" i="7"/>
  <c r="B26" i="7"/>
  <c r="B28" i="7"/>
  <c r="B30" i="7"/>
  <c r="B32" i="7"/>
  <c r="B4" i="7"/>
  <c r="B6" i="7"/>
  <c r="B8" i="7"/>
  <c r="B10" i="7"/>
  <c r="C10" i="7" s="1"/>
  <c r="B12" i="7"/>
  <c r="B14" i="7"/>
  <c r="B16" i="7"/>
  <c r="C8" i="7"/>
  <c r="B2" i="7"/>
  <c r="C2" i="7"/>
  <c r="C6" i="7"/>
  <c r="C14" i="7"/>
  <c r="C25" i="7"/>
  <c r="C15" i="7"/>
  <c r="C27" i="7"/>
  <c r="C31" i="7"/>
  <c r="C25" i="8"/>
  <c r="C13" i="8"/>
  <c r="I5" i="7" l="1"/>
  <c r="D5" i="7"/>
  <c r="B5" i="9" s="1"/>
  <c r="J6" i="9"/>
  <c r="J17" i="9"/>
  <c r="I16" i="7"/>
  <c r="D16" i="7" s="1"/>
  <c r="B16" i="9" s="1"/>
  <c r="I3" i="7"/>
  <c r="D3" i="7" s="1"/>
  <c r="B3" i="9" s="1"/>
  <c r="J4" i="9"/>
  <c r="D2" i="7"/>
  <c r="B2" i="9" s="1"/>
  <c r="J3" i="9"/>
  <c r="I2" i="7"/>
  <c r="D14" i="7"/>
  <c r="B14" i="9" s="1"/>
  <c r="J15" i="9"/>
  <c r="I14" i="7"/>
  <c r="C3" i="7"/>
  <c r="C15" i="8"/>
  <c r="C12" i="8"/>
  <c r="E12" i="8" s="1"/>
  <c r="E11" i="8"/>
  <c r="BC59" i="9"/>
  <c r="BE59" i="9" s="1"/>
  <c r="CS72" i="9"/>
  <c r="CU72" i="9" s="1"/>
  <c r="BC55" i="9"/>
  <c r="BE55" i="9" s="1"/>
  <c r="M52" i="9"/>
  <c r="O52" i="9" s="1"/>
  <c r="M71" i="9"/>
  <c r="O71" i="9" s="1"/>
  <c r="M89" i="9"/>
  <c r="O89" i="9" s="1"/>
  <c r="DN54" i="9"/>
  <c r="DP54" i="9" s="1"/>
  <c r="AH50" i="9"/>
  <c r="AJ50" i="9" s="1"/>
  <c r="AH88" i="9"/>
  <c r="AJ88" i="9" s="1"/>
  <c r="BC102" i="9"/>
  <c r="BE102" i="9" s="1"/>
  <c r="AH65" i="9"/>
  <c r="AJ65" i="9" s="1"/>
  <c r="BC105" i="9"/>
  <c r="BE105" i="9" s="1"/>
  <c r="AH47" i="9"/>
  <c r="AJ47" i="9" s="1"/>
  <c r="AH57" i="9"/>
  <c r="AJ57" i="9" s="1"/>
  <c r="BX74" i="9"/>
  <c r="BZ74" i="9" s="1"/>
  <c r="DN68" i="9"/>
  <c r="DP68" i="9" s="1"/>
  <c r="M68" i="9"/>
  <c r="O68" i="9" s="1"/>
  <c r="AH109" i="9"/>
  <c r="AJ109" i="9" s="1"/>
  <c r="AH110" i="9"/>
  <c r="AJ110" i="9" s="1"/>
  <c r="AH99" i="9"/>
  <c r="AJ99" i="9" s="1"/>
  <c r="DN84" i="9"/>
  <c r="DP84" i="9" s="1"/>
  <c r="BC95" i="9"/>
  <c r="BE95" i="9" s="1"/>
  <c r="DN89" i="9"/>
  <c r="DP89" i="9" s="1"/>
  <c r="CS110" i="9"/>
  <c r="CU110" i="9" s="1"/>
  <c r="CS86" i="9"/>
  <c r="CU86" i="9" s="1"/>
  <c r="M93" i="9"/>
  <c r="O93" i="9" s="1"/>
  <c r="AH66" i="9"/>
  <c r="AJ66" i="9" s="1"/>
  <c r="M109" i="9"/>
  <c r="O109" i="9" s="1"/>
  <c r="CS64" i="9"/>
  <c r="CU64" i="9" s="1"/>
  <c r="AH72" i="9"/>
  <c r="AJ72" i="9" s="1"/>
  <c r="M50" i="9"/>
  <c r="O50" i="9" s="1"/>
  <c r="M69" i="9"/>
  <c r="O69" i="9" s="1"/>
  <c r="M99" i="9"/>
  <c r="O99" i="9" s="1"/>
  <c r="DN45" i="9"/>
  <c r="DP45" i="9" s="1"/>
  <c r="AH58" i="9"/>
  <c r="AJ58" i="9" s="1"/>
  <c r="BC56" i="9"/>
  <c r="BE56" i="9" s="1"/>
  <c r="AH49" i="9"/>
  <c r="AJ49" i="9" s="1"/>
  <c r="BX72" i="9"/>
  <c r="BZ72" i="9" s="1"/>
  <c r="BX66" i="9"/>
  <c r="BZ66" i="9" s="1"/>
  <c r="DN52" i="9"/>
  <c r="DP52" i="9" s="1"/>
  <c r="M51" i="9"/>
  <c r="O51" i="9" s="1"/>
  <c r="AH93" i="9"/>
  <c r="AJ93" i="9" s="1"/>
  <c r="AH102" i="9"/>
  <c r="AJ102" i="9" s="1"/>
  <c r="BX100" i="9"/>
  <c r="BZ100" i="9" s="1"/>
  <c r="BX89" i="9"/>
  <c r="BZ89" i="9" s="1"/>
  <c r="CS99" i="9"/>
  <c r="CU99" i="9" s="1"/>
  <c r="BC104" i="9"/>
  <c r="BE104" i="9" s="1"/>
  <c r="DN87" i="9"/>
  <c r="DP87" i="9" s="1"/>
  <c r="CS94" i="9"/>
  <c r="CU94" i="9" s="1"/>
  <c r="CS90" i="9"/>
  <c r="CU90" i="9" s="1"/>
  <c r="BX63" i="9"/>
  <c r="BZ63" i="9" s="1"/>
  <c r="CS50" i="9"/>
  <c r="CU50" i="9" s="1"/>
  <c r="AH70" i="9"/>
  <c r="AJ70" i="9" s="1"/>
  <c r="M105" i="9"/>
  <c r="O105" i="9" s="1"/>
  <c r="CS62" i="9"/>
  <c r="CU62" i="9" s="1"/>
  <c r="AH48" i="9"/>
  <c r="AJ48" i="9" s="1"/>
  <c r="CS53" i="9"/>
  <c r="CU53" i="9" s="1"/>
  <c r="M81" i="9"/>
  <c r="O81" i="9" s="1"/>
  <c r="DN53" i="9"/>
  <c r="DP53" i="9" s="1"/>
  <c r="M55" i="9"/>
  <c r="O55" i="9" s="1"/>
  <c r="BX70" i="9"/>
  <c r="BZ70" i="9" s="1"/>
  <c r="BX64" i="9"/>
  <c r="BZ64" i="9" s="1"/>
  <c r="BC66" i="9"/>
  <c r="BE66" i="9" s="1"/>
  <c r="BX50" i="9"/>
  <c r="BZ50" i="9" s="1"/>
  <c r="AH53" i="9"/>
  <c r="AJ53" i="9" s="1"/>
  <c r="M62" i="9"/>
  <c r="O62" i="9" s="1"/>
  <c r="AH94" i="9"/>
  <c r="AJ94" i="9" s="1"/>
  <c r="AH86" i="9"/>
  <c r="AJ86" i="9" s="1"/>
  <c r="AH83" i="9"/>
  <c r="AJ83" i="9" s="1"/>
  <c r="BX105" i="9"/>
  <c r="BZ105" i="9" s="1"/>
  <c r="BC86" i="9"/>
  <c r="BE86" i="9" s="1"/>
  <c r="DN103" i="9"/>
  <c r="DP103" i="9" s="1"/>
  <c r="DN100" i="9"/>
  <c r="DP100" i="9" s="1"/>
  <c r="CS106" i="9"/>
  <c r="CU106" i="9" s="1"/>
  <c r="BC44" i="9"/>
  <c r="BE44" i="9" s="1"/>
  <c r="DN50" i="9"/>
  <c r="DP50" i="9" s="1"/>
  <c r="M87" i="9"/>
  <c r="O87" i="9" s="1"/>
  <c r="CS65" i="9"/>
  <c r="CU65" i="9" s="1"/>
  <c r="AH68" i="9"/>
  <c r="AJ68" i="9" s="1"/>
  <c r="M48" i="9"/>
  <c r="O48" i="9" s="1"/>
  <c r="M46" i="9"/>
  <c r="O46" i="9" s="1"/>
  <c r="BX47" i="9"/>
  <c r="BZ47" i="9" s="1"/>
  <c r="M67" i="9"/>
  <c r="O67" i="9" s="1"/>
  <c r="M59" i="9"/>
  <c r="O59" i="9" s="1"/>
  <c r="AH92" i="9"/>
  <c r="AJ92" i="9" s="1"/>
  <c r="BX54" i="9"/>
  <c r="BZ54" i="9" s="1"/>
  <c r="BX48" i="9"/>
  <c r="BZ48" i="9" s="1"/>
  <c r="BC50" i="9"/>
  <c r="BE50" i="9" s="1"/>
  <c r="AH96" i="9"/>
  <c r="AJ96" i="9" s="1"/>
  <c r="M88" i="9"/>
  <c r="O88" i="9" s="1"/>
  <c r="M45" i="9"/>
  <c r="O45" i="9" s="1"/>
  <c r="BX96" i="9"/>
  <c r="BZ96" i="9" s="1"/>
  <c r="AH80" i="9"/>
  <c r="AJ80" i="9" s="1"/>
  <c r="BX101" i="9"/>
  <c r="BZ101" i="9" s="1"/>
  <c r="BX95" i="9"/>
  <c r="BZ95" i="9" s="1"/>
  <c r="BC89" i="9"/>
  <c r="BE89" i="9" s="1"/>
  <c r="DN92" i="9"/>
  <c r="DP92" i="9" s="1"/>
  <c r="DN99" i="9"/>
  <c r="DP99" i="9" s="1"/>
  <c r="BX86" i="9"/>
  <c r="BZ86" i="9" s="1"/>
  <c r="DN106" i="9"/>
  <c r="DP106" i="9" s="1"/>
  <c r="CS45" i="9"/>
  <c r="CU45" i="9" s="1"/>
  <c r="M107" i="9"/>
  <c r="O107" i="9" s="1"/>
  <c r="BC57" i="9"/>
  <c r="BE57" i="9" s="1"/>
  <c r="M83" i="9"/>
  <c r="O83" i="9" s="1"/>
  <c r="CS66" i="9"/>
  <c r="CU66" i="9" s="1"/>
  <c r="M44" i="9"/>
  <c r="O44" i="9" s="1"/>
  <c r="M100" i="9"/>
  <c r="O100" i="9" s="1"/>
  <c r="AH61" i="9"/>
  <c r="AJ61" i="9" s="1"/>
  <c r="AH108" i="9"/>
  <c r="AJ108" i="9" s="1"/>
  <c r="BX68" i="9"/>
  <c r="BZ68" i="9" s="1"/>
  <c r="AH59" i="9"/>
  <c r="AJ59" i="9" s="1"/>
  <c r="M64" i="9"/>
  <c r="O64" i="9" s="1"/>
  <c r="BX91" i="9"/>
  <c r="BZ91" i="9" s="1"/>
  <c r="AH87" i="9"/>
  <c r="AJ87" i="9" s="1"/>
  <c r="BC81" i="9"/>
  <c r="BE81" i="9" s="1"/>
  <c r="DN88" i="9"/>
  <c r="DP88" i="9" s="1"/>
  <c r="CS85" i="9"/>
  <c r="CU85" i="9" s="1"/>
  <c r="DN107" i="9"/>
  <c r="DP107" i="9" s="1"/>
  <c r="DN90" i="9"/>
  <c r="DP90" i="9" s="1"/>
  <c r="BX59" i="9"/>
  <c r="BZ59" i="9" s="1"/>
  <c r="BC53" i="9"/>
  <c r="BE53" i="9" s="1"/>
  <c r="BX61" i="9"/>
  <c r="BZ61" i="9" s="1"/>
  <c r="M91" i="9"/>
  <c r="O91" i="9" s="1"/>
  <c r="BX67" i="9"/>
  <c r="BZ67" i="9" s="1"/>
  <c r="AH71" i="9"/>
  <c r="AJ71" i="9" s="1"/>
  <c r="BC68" i="9"/>
  <c r="BE68" i="9" s="1"/>
  <c r="BX52" i="9"/>
  <c r="BZ52" i="9" s="1"/>
  <c r="BX56" i="9"/>
  <c r="BZ56" i="9" s="1"/>
  <c r="M47" i="9"/>
  <c r="O47" i="9" s="1"/>
  <c r="BX103" i="9"/>
  <c r="BZ103" i="9" s="1"/>
  <c r="DN85" i="9"/>
  <c r="DP85" i="9" s="1"/>
  <c r="CS92" i="9"/>
  <c r="CU92" i="9" s="1"/>
  <c r="CS81" i="9"/>
  <c r="CU81" i="9" s="1"/>
  <c r="DN98" i="9"/>
  <c r="DP98" i="9" s="1"/>
  <c r="CS52" i="9"/>
  <c r="CU52" i="9" s="1"/>
  <c r="DN65" i="9"/>
  <c r="DP65" i="9" s="1"/>
  <c r="BX71" i="9"/>
  <c r="BZ71" i="9" s="1"/>
  <c r="AH100" i="9"/>
  <c r="AJ100" i="9" s="1"/>
  <c r="DN66" i="9"/>
  <c r="DP66" i="9" s="1"/>
  <c r="AH55" i="9"/>
  <c r="AJ55" i="9" s="1"/>
  <c r="CS67" i="9"/>
  <c r="CU67" i="9" s="1"/>
  <c r="BC52" i="9"/>
  <c r="BE52" i="9" s="1"/>
  <c r="CS47" i="9"/>
  <c r="CU47" i="9" s="1"/>
  <c r="AH104" i="9"/>
  <c r="AJ104" i="9" s="1"/>
  <c r="M74" i="9"/>
  <c r="O74" i="9" s="1"/>
  <c r="AH105" i="9"/>
  <c r="AJ105" i="9" s="1"/>
  <c r="BX92" i="9"/>
  <c r="BZ92" i="9" s="1"/>
  <c r="BX83" i="9"/>
  <c r="BZ83" i="9" s="1"/>
  <c r="CS95" i="9"/>
  <c r="CU95" i="9" s="1"/>
  <c r="CS101" i="9"/>
  <c r="CU101" i="9" s="1"/>
  <c r="DN82" i="9"/>
  <c r="DP82" i="9" s="1"/>
  <c r="DN57" i="9"/>
  <c r="DP57" i="9" s="1"/>
  <c r="BX73" i="9"/>
  <c r="BZ73" i="9" s="1"/>
  <c r="DN70" i="9"/>
  <c r="DP70" i="9" s="1"/>
  <c r="CS59" i="9"/>
  <c r="CU59" i="9" s="1"/>
  <c r="CS63" i="9"/>
  <c r="CU63" i="9" s="1"/>
  <c r="BX58" i="9"/>
  <c r="BZ58" i="9" s="1"/>
  <c r="CS55" i="9"/>
  <c r="CU55" i="9" s="1"/>
  <c r="BC72" i="9"/>
  <c r="BE72" i="9" s="1"/>
  <c r="BC80" i="9"/>
  <c r="BE80" i="9" s="1"/>
  <c r="BC101" i="9"/>
  <c r="BE101" i="9" s="1"/>
  <c r="M49" i="9"/>
  <c r="O49" i="9" s="1"/>
  <c r="AH97" i="9"/>
  <c r="AJ97" i="9" s="1"/>
  <c r="BX97" i="9"/>
  <c r="BZ97" i="9" s="1"/>
  <c r="BX81" i="9"/>
  <c r="BZ81" i="9" s="1"/>
  <c r="BX85" i="9"/>
  <c r="BZ85" i="9" s="1"/>
  <c r="DN104" i="9"/>
  <c r="DP104" i="9" s="1"/>
  <c r="DN95" i="9"/>
  <c r="DP95" i="9" s="1"/>
  <c r="CS105" i="9"/>
  <c r="CU105" i="9" s="1"/>
  <c r="CS98" i="9"/>
  <c r="CU98" i="9" s="1"/>
  <c r="BX55" i="9"/>
  <c r="BZ55" i="9" s="1"/>
  <c r="M103" i="9"/>
  <c r="O103" i="9" s="1"/>
  <c r="BC49" i="9"/>
  <c r="BE49" i="9" s="1"/>
  <c r="BX57" i="9"/>
  <c r="BZ57" i="9" s="1"/>
  <c r="CS61" i="9"/>
  <c r="CU61" i="9" s="1"/>
  <c r="BX49" i="9"/>
  <c r="BZ49" i="9" s="1"/>
  <c r="BC71" i="9"/>
  <c r="BE71" i="9" s="1"/>
  <c r="AH84" i="9"/>
  <c r="AJ84" i="9" s="1"/>
  <c r="AH54" i="9"/>
  <c r="AJ54" i="9" s="1"/>
  <c r="DN74" i="9"/>
  <c r="DP74" i="9" s="1"/>
  <c r="BC110" i="9"/>
  <c r="BE110" i="9" s="1"/>
  <c r="M98" i="9"/>
  <c r="O98" i="9" s="1"/>
  <c r="M102" i="9"/>
  <c r="O102" i="9" s="1"/>
  <c r="M104" i="9"/>
  <c r="O104" i="9" s="1"/>
  <c r="M94" i="9"/>
  <c r="O94" i="9" s="1"/>
  <c r="BC64" i="9"/>
  <c r="BE64" i="9" s="1"/>
  <c r="M60" i="9"/>
  <c r="O60" i="9" s="1"/>
  <c r="BC107" i="9"/>
  <c r="BE107" i="9" s="1"/>
  <c r="AH81" i="9"/>
  <c r="AJ81" i="9" s="1"/>
  <c r="BX84" i="9"/>
  <c r="BZ84" i="9" s="1"/>
  <c r="CS80" i="9"/>
  <c r="CU80" i="9" s="1"/>
  <c r="CS88" i="9"/>
  <c r="CU88" i="9" s="1"/>
  <c r="CS91" i="9"/>
  <c r="CU91" i="9" s="1"/>
  <c r="DN80" i="9"/>
  <c r="DP80" i="9" s="1"/>
  <c r="BX106" i="9"/>
  <c r="BZ106" i="9" s="1"/>
  <c r="BX44" i="9"/>
  <c r="BZ44" i="9" s="1"/>
  <c r="CS56" i="9"/>
  <c r="CU56" i="9" s="1"/>
  <c r="CS70" i="9"/>
  <c r="CU70" i="9" s="1"/>
  <c r="BX45" i="9"/>
  <c r="BZ45" i="9" s="1"/>
  <c r="DN49" i="9"/>
  <c r="DP49" i="9" s="1"/>
  <c r="M73" i="9"/>
  <c r="O73" i="9" s="1"/>
  <c r="M90" i="9"/>
  <c r="O90" i="9" s="1"/>
  <c r="M86" i="9"/>
  <c r="O86" i="9" s="1"/>
  <c r="M96" i="9"/>
  <c r="O96" i="9" s="1"/>
  <c r="DN59" i="9"/>
  <c r="DP59" i="9" s="1"/>
  <c r="BC48" i="9"/>
  <c r="BE48" i="9" s="1"/>
  <c r="CS44" i="9"/>
  <c r="CU44" i="9" s="1"/>
  <c r="M70" i="9"/>
  <c r="O70" i="9" s="1"/>
  <c r="AH106" i="9"/>
  <c r="AJ106" i="9" s="1"/>
  <c r="BX87" i="9"/>
  <c r="BZ87" i="9" s="1"/>
  <c r="BC92" i="9"/>
  <c r="BE92" i="9" s="1"/>
  <c r="DN108" i="9"/>
  <c r="DP108" i="9" s="1"/>
  <c r="CS84" i="9"/>
  <c r="CU84" i="9" s="1"/>
  <c r="CS97" i="9"/>
  <c r="CU97" i="9" s="1"/>
  <c r="BC108" i="9"/>
  <c r="BE108" i="9" s="1"/>
  <c r="DN105" i="9"/>
  <c r="DP105" i="9" s="1"/>
  <c r="BX90" i="9"/>
  <c r="BZ90" i="9" s="1"/>
  <c r="BX102" i="9"/>
  <c r="BZ102" i="9" s="1"/>
  <c r="CS58" i="9"/>
  <c r="CU58" i="9" s="1"/>
  <c r="M85" i="9"/>
  <c r="O85" i="9" s="1"/>
  <c r="CS69" i="9"/>
  <c r="CU69" i="9" s="1"/>
  <c r="BX69" i="9"/>
  <c r="BZ69" i="9" s="1"/>
  <c r="AH56" i="9"/>
  <c r="AJ56" i="9" s="1"/>
  <c r="DN69" i="9"/>
  <c r="DP69" i="9" s="1"/>
  <c r="M57" i="9"/>
  <c r="O57" i="9" s="1"/>
  <c r="M82" i="9"/>
  <c r="O82" i="9" s="1"/>
  <c r="AH67" i="9"/>
  <c r="AJ67" i="9" s="1"/>
  <c r="AH69" i="9"/>
  <c r="AJ69" i="9" s="1"/>
  <c r="BX62" i="9"/>
  <c r="BZ62" i="9" s="1"/>
  <c r="CS51" i="9"/>
  <c r="CU51" i="9" s="1"/>
  <c r="AH44" i="9"/>
  <c r="AJ44" i="9" s="1"/>
  <c r="BX51" i="9"/>
  <c r="BZ51" i="9" s="1"/>
  <c r="BX53" i="9"/>
  <c r="BZ53" i="9" s="1"/>
  <c r="DN62" i="9"/>
  <c r="DP62" i="9" s="1"/>
  <c r="CS68" i="9"/>
  <c r="CU68" i="9" s="1"/>
  <c r="BX65" i="9"/>
  <c r="BZ65" i="9" s="1"/>
  <c r="BC45" i="9"/>
  <c r="BE45" i="9" s="1"/>
  <c r="AH62" i="9"/>
  <c r="AJ62" i="9" s="1"/>
  <c r="AH64" i="9"/>
  <c r="AJ64" i="9" s="1"/>
  <c r="DN73" i="9"/>
  <c r="DP73" i="9" s="1"/>
  <c r="BC106" i="9"/>
  <c r="BE106" i="9" s="1"/>
  <c r="BC74" i="9"/>
  <c r="BE74" i="9" s="1"/>
  <c r="DN63" i="9"/>
  <c r="DP63" i="9" s="1"/>
  <c r="AH51" i="9"/>
  <c r="AJ51" i="9" s="1"/>
  <c r="BX46" i="9"/>
  <c r="BZ46" i="9" s="1"/>
  <c r="M106" i="9"/>
  <c r="O106" i="9" s="1"/>
  <c r="DN67" i="9"/>
  <c r="DP67" i="9" s="1"/>
  <c r="M53" i="9"/>
  <c r="O53" i="9" s="1"/>
  <c r="BX108" i="9"/>
  <c r="BZ108" i="9" s="1"/>
  <c r="BX93" i="9"/>
  <c r="BZ93" i="9" s="1"/>
  <c r="BC96" i="9"/>
  <c r="BE96" i="9" s="1"/>
  <c r="DN91" i="9"/>
  <c r="DP91" i="9" s="1"/>
  <c r="CS108" i="9"/>
  <c r="CU108" i="9" s="1"/>
  <c r="BC93" i="9"/>
  <c r="BE93" i="9" s="1"/>
  <c r="DN81" i="9"/>
  <c r="DP81" i="9" s="1"/>
  <c r="CS48" i="9"/>
  <c r="CU48" i="9" s="1"/>
  <c r="BC65" i="9"/>
  <c r="BE65" i="9" s="1"/>
  <c r="CS60" i="9"/>
  <c r="CU60" i="9" s="1"/>
  <c r="BC73" i="9"/>
  <c r="BE73" i="9" s="1"/>
  <c r="BC69" i="9"/>
  <c r="BE69" i="9" s="1"/>
  <c r="AH46" i="9"/>
  <c r="AJ46" i="9" s="1"/>
  <c r="M80" i="9"/>
  <c r="O80" i="9" s="1"/>
  <c r="CS49" i="9"/>
  <c r="CU49" i="9" s="1"/>
  <c r="CS57" i="9"/>
  <c r="CU57" i="9" s="1"/>
  <c r="BC67" i="9"/>
  <c r="BE67" i="9" s="1"/>
  <c r="M63" i="9"/>
  <c r="O63" i="9" s="1"/>
  <c r="AH60" i="9"/>
  <c r="AJ60" i="9" s="1"/>
  <c r="M95" i="9"/>
  <c r="O95" i="9" s="1"/>
  <c r="BX60" i="9"/>
  <c r="BZ60" i="9" s="1"/>
  <c r="DN72" i="9"/>
  <c r="DP72" i="9" s="1"/>
  <c r="DN51" i="9"/>
  <c r="DP51" i="9" s="1"/>
  <c r="BC109" i="9"/>
  <c r="BE109" i="9" s="1"/>
  <c r="BC70" i="9"/>
  <c r="BE70" i="9" s="1"/>
  <c r="M92" i="9"/>
  <c r="O92" i="9" s="1"/>
  <c r="DN55" i="9"/>
  <c r="DP55" i="9" s="1"/>
  <c r="CS71" i="9"/>
  <c r="CU71" i="9" s="1"/>
  <c r="AH103" i="9"/>
  <c r="AJ103" i="9" s="1"/>
  <c r="BX99" i="9"/>
  <c r="BZ99" i="9" s="1"/>
  <c r="AH89" i="9"/>
  <c r="AJ89" i="9" s="1"/>
  <c r="BC83" i="9"/>
  <c r="BE83" i="9" s="1"/>
  <c r="BC100" i="9"/>
  <c r="BE100" i="9" s="1"/>
  <c r="BC84" i="9"/>
  <c r="BE84" i="9" s="1"/>
  <c r="BC91" i="9"/>
  <c r="BE91" i="9" s="1"/>
  <c r="DN101" i="9"/>
  <c r="DP101" i="9" s="1"/>
  <c r="CS103" i="9"/>
  <c r="CU103" i="9" s="1"/>
  <c r="BX82" i="9"/>
  <c r="BZ82" i="9" s="1"/>
  <c r="DN102" i="9"/>
  <c r="DP102" i="9" s="1"/>
  <c r="CS54" i="9"/>
  <c r="CU54" i="9" s="1"/>
  <c r="M65" i="9"/>
  <c r="O65" i="9" s="1"/>
  <c r="BC98" i="9"/>
  <c r="BE98" i="9" s="1"/>
  <c r="CS82" i="9"/>
  <c r="CU82" i="9" s="1"/>
  <c r="BC62" i="9"/>
  <c r="BE62" i="9" s="1"/>
  <c r="BC103" i="9"/>
  <c r="BE103" i="9" s="1"/>
  <c r="BC46" i="9"/>
  <c r="BE46" i="9" s="1"/>
  <c r="AH107" i="9"/>
  <c r="AJ107" i="9" s="1"/>
  <c r="BC94" i="9"/>
  <c r="BE94" i="9" s="1"/>
  <c r="BC88" i="9"/>
  <c r="BE88" i="9" s="1"/>
  <c r="CS104" i="9"/>
  <c r="CU104" i="9" s="1"/>
  <c r="DN110" i="9"/>
  <c r="DP110" i="9" s="1"/>
  <c r="DN47" i="9"/>
  <c r="DP47" i="9" s="1"/>
  <c r="BC54" i="9"/>
  <c r="BE54" i="9" s="1"/>
  <c r="BX80" i="9"/>
  <c r="BZ80" i="9" s="1"/>
  <c r="AH91" i="9"/>
  <c r="AJ91" i="9" s="1"/>
  <c r="BC87" i="9"/>
  <c r="BE87" i="9" s="1"/>
  <c r="DN94" i="9"/>
  <c r="DP94" i="9" s="1"/>
  <c r="DN61" i="9"/>
  <c r="DP61" i="9" s="1"/>
  <c r="DN56" i="9"/>
  <c r="DP56" i="9" s="1"/>
  <c r="M108" i="9"/>
  <c r="O108" i="9" s="1"/>
  <c r="BX109" i="9"/>
  <c r="BZ109" i="9" s="1"/>
  <c r="BX107" i="9"/>
  <c r="BZ107" i="9" s="1"/>
  <c r="BX98" i="9"/>
  <c r="BZ98" i="9" s="1"/>
  <c r="BC63" i="9"/>
  <c r="BE63" i="9" s="1"/>
  <c r="AH73" i="9"/>
  <c r="AJ73" i="9" s="1"/>
  <c r="M84" i="9"/>
  <c r="O84" i="9" s="1"/>
  <c r="BX110" i="9"/>
  <c r="BZ110" i="9" s="1"/>
  <c r="AH63" i="9"/>
  <c r="AJ63" i="9" s="1"/>
  <c r="DN60" i="9"/>
  <c r="DP60" i="9" s="1"/>
  <c r="BX88" i="9"/>
  <c r="BZ88" i="9" s="1"/>
  <c r="BX104" i="9"/>
  <c r="BZ104" i="9" s="1"/>
  <c r="BC82" i="9"/>
  <c r="BE82" i="9" s="1"/>
  <c r="BX94" i="9"/>
  <c r="BZ94" i="9" s="1"/>
  <c r="BC85" i="9"/>
  <c r="BE85" i="9" s="1"/>
  <c r="BC90" i="9"/>
  <c r="BE90" i="9" s="1"/>
  <c r="BY86" i="9"/>
  <c r="CB86" i="9" s="1"/>
  <c r="CT96" i="9"/>
  <c r="CW96" i="9" s="1"/>
  <c r="M54" i="9"/>
  <c r="O54" i="9" s="1"/>
  <c r="AH45" i="9"/>
  <c r="AJ45" i="9" s="1"/>
  <c r="DN97" i="9"/>
  <c r="DP97" i="9" s="1"/>
  <c r="BC99" i="9"/>
  <c r="BE99" i="9" s="1"/>
  <c r="CS87" i="9"/>
  <c r="CU87" i="9" s="1"/>
  <c r="M61" i="9"/>
  <c r="O61" i="9" s="1"/>
  <c r="BC58" i="9"/>
  <c r="BE58" i="9" s="1"/>
  <c r="DN71" i="9"/>
  <c r="DP71" i="9" s="1"/>
  <c r="M56" i="9"/>
  <c r="O56" i="9" s="1"/>
  <c r="AH101" i="9"/>
  <c r="AJ101" i="9" s="1"/>
  <c r="CS73" i="9"/>
  <c r="CU73" i="9" s="1"/>
  <c r="DN48" i="9"/>
  <c r="DP48" i="9" s="1"/>
  <c r="AH98" i="9"/>
  <c r="AJ98" i="9" s="1"/>
  <c r="DN93" i="9"/>
  <c r="DP93" i="9" s="1"/>
  <c r="CS93" i="9"/>
  <c r="CU93" i="9" s="1"/>
  <c r="CS107" i="9"/>
  <c r="CU107" i="9" s="1"/>
  <c r="CS102" i="9"/>
  <c r="CU102" i="9" s="1"/>
  <c r="BC51" i="9"/>
  <c r="BE51" i="9" s="1"/>
  <c r="M58" i="9"/>
  <c r="O58" i="9" s="1"/>
  <c r="AH82" i="9"/>
  <c r="AJ82" i="9" s="1"/>
  <c r="BC97" i="9"/>
  <c r="BE97" i="9" s="1"/>
  <c r="AH52" i="9"/>
  <c r="AJ52" i="9" s="1"/>
  <c r="AH95" i="9"/>
  <c r="AJ95" i="9" s="1"/>
  <c r="CS83" i="9"/>
  <c r="CU83" i="9" s="1"/>
  <c r="M72" i="9"/>
  <c r="O72" i="9" s="1"/>
  <c r="DO66" i="9"/>
  <c r="DR66" i="9" s="1"/>
  <c r="CS46" i="9"/>
  <c r="CU46" i="9" s="1"/>
  <c r="AH90" i="9"/>
  <c r="AJ90" i="9" s="1"/>
  <c r="M66" i="9"/>
  <c r="O66" i="9" s="1"/>
  <c r="CS100" i="9"/>
  <c r="CU100" i="9" s="1"/>
  <c r="CT50" i="9"/>
  <c r="CW50" i="9" s="1"/>
  <c r="DN109" i="9"/>
  <c r="DP109" i="9" s="1"/>
  <c r="BD85" i="9"/>
  <c r="BG85" i="9" s="1"/>
  <c r="BC61" i="9"/>
  <c r="BE61" i="9" s="1"/>
  <c r="DN58" i="9"/>
  <c r="DP58" i="9" s="1"/>
  <c r="CS74" i="9"/>
  <c r="CU74" i="9" s="1"/>
  <c r="BC60" i="9"/>
  <c r="BE60" i="9" s="1"/>
  <c r="BC47" i="9"/>
  <c r="BE47" i="9" s="1"/>
  <c r="CS96" i="9"/>
  <c r="CU96" i="9" s="1"/>
  <c r="CS109" i="9"/>
  <c r="CU109" i="9" s="1"/>
  <c r="BY99" i="9"/>
  <c r="CB99" i="9" s="1"/>
  <c r="M110" i="9"/>
  <c r="O110" i="9" s="1"/>
  <c r="DN83" i="9"/>
  <c r="DP83" i="9" s="1"/>
  <c r="N80" i="9"/>
  <c r="Q80" i="9" s="1"/>
  <c r="M97" i="9"/>
  <c r="O97" i="9" s="1"/>
  <c r="DN44" i="9"/>
  <c r="DP44" i="9" s="1"/>
  <c r="DN96" i="9"/>
  <c r="DP96" i="9" s="1"/>
  <c r="DN86" i="9"/>
  <c r="DP86" i="9" s="1"/>
  <c r="DN64" i="9"/>
  <c r="DP64" i="9" s="1"/>
  <c r="M101" i="9"/>
  <c r="O101" i="9" s="1"/>
  <c r="CS89" i="9"/>
  <c r="CU89" i="9" s="1"/>
  <c r="DO98" i="9"/>
  <c r="DR98" i="9" s="1"/>
  <c r="AH74" i="9"/>
  <c r="AJ74" i="9" s="1"/>
  <c r="DN46" i="9"/>
  <c r="DP46" i="9" s="1"/>
  <c r="AH85" i="9"/>
  <c r="AJ85" i="9" s="1"/>
  <c r="J11" i="9"/>
  <c r="I10" i="7"/>
  <c r="D10" i="7" s="1"/>
  <c r="B10" i="9" s="1"/>
  <c r="I31" i="7"/>
  <c r="D31" i="7" s="1"/>
  <c r="B31" i="9" s="1"/>
  <c r="J32" i="9"/>
  <c r="F18" i="6"/>
  <c r="S1" i="6" s="1"/>
  <c r="I9" i="7"/>
  <c r="D9" i="7" s="1"/>
  <c r="B9" i="9" s="1"/>
  <c r="J10" i="9"/>
  <c r="I29" i="7"/>
  <c r="D29" i="7"/>
  <c r="B29" i="9" s="1"/>
  <c r="J30" i="9"/>
  <c r="J25" i="9"/>
  <c r="I24" i="7"/>
  <c r="D24" i="7" s="1"/>
  <c r="B24" i="9" s="1"/>
  <c r="J19" i="9"/>
  <c r="I18" i="7"/>
  <c r="D18" i="7" s="1"/>
  <c r="B18" i="9" s="1"/>
  <c r="J9" i="9"/>
  <c r="I8" i="7"/>
  <c r="D8" i="7" s="1"/>
  <c r="B8" i="9" s="1"/>
  <c r="J7" i="9"/>
  <c r="I6" i="7"/>
  <c r="D6" i="7" s="1"/>
  <c r="B6" i="9" s="1"/>
  <c r="I27" i="7"/>
  <c r="D27" i="7" s="1"/>
  <c r="B27" i="9" s="1"/>
  <c r="J28" i="9"/>
  <c r="E23" i="8"/>
  <c r="C24" i="8"/>
  <c r="E24" i="8" s="1"/>
  <c r="C27" i="8"/>
  <c r="J21" i="9"/>
  <c r="I20" i="7"/>
  <c r="D20" i="7" s="1"/>
  <c r="B20" i="9" s="1"/>
  <c r="C24" i="7"/>
  <c r="J5" i="9"/>
  <c r="I4" i="7"/>
  <c r="D4" i="7" s="1"/>
  <c r="B4" i="9" s="1"/>
  <c r="C5" i="7"/>
  <c r="I25" i="7"/>
  <c r="D25" i="7"/>
  <c r="B25" i="9" s="1"/>
  <c r="J26" i="9"/>
  <c r="J23" i="9"/>
  <c r="I22" i="7"/>
  <c r="D22" i="7"/>
  <c r="B22" i="9" s="1"/>
  <c r="J13" i="9"/>
  <c r="I12" i="7"/>
  <c r="D12" i="7" s="1"/>
  <c r="B12" i="9" s="1"/>
  <c r="J33" i="9"/>
  <c r="D32" i="7"/>
  <c r="B32" i="9" s="1"/>
  <c r="I32" i="7"/>
  <c r="I17" i="7"/>
  <c r="D17" i="7"/>
  <c r="B17" i="9" s="1"/>
  <c r="J18" i="9"/>
  <c r="I23" i="7"/>
  <c r="D23" i="7"/>
  <c r="B23" i="9" s="1"/>
  <c r="J24" i="9"/>
  <c r="E19" i="2"/>
  <c r="I11" i="7"/>
  <c r="D11" i="7"/>
  <c r="B11" i="9" s="1"/>
  <c r="J12" i="9"/>
  <c r="C4" i="7"/>
  <c r="J31" i="9"/>
  <c r="I30" i="7"/>
  <c r="D30" i="7"/>
  <c r="B30" i="9" s="1"/>
  <c r="I21" i="7"/>
  <c r="D21" i="7" s="1"/>
  <c r="B21" i="9" s="1"/>
  <c r="J22" i="9"/>
  <c r="I7" i="7"/>
  <c r="D7" i="7"/>
  <c r="B7" i="9" s="1"/>
  <c r="J8" i="9"/>
  <c r="C30" i="7"/>
  <c r="G19" i="2"/>
  <c r="I19" i="7"/>
  <c r="D19" i="7" s="1"/>
  <c r="B19" i="9" s="1"/>
  <c r="J20" i="9"/>
  <c r="G22" i="2"/>
  <c r="I20" i="2"/>
  <c r="I22" i="2"/>
  <c r="K22" i="2"/>
  <c r="E22" i="2"/>
  <c r="K20" i="2"/>
  <c r="E21" i="2"/>
  <c r="I21" i="2"/>
  <c r="K21" i="2"/>
  <c r="I13" i="7"/>
  <c r="D13" i="7"/>
  <c r="B13" i="9" s="1"/>
  <c r="J14" i="9"/>
  <c r="C20" i="7"/>
  <c r="C12" i="7"/>
  <c r="C16" i="7"/>
  <c r="J29" i="9"/>
  <c r="I28" i="7"/>
  <c r="D28" i="7"/>
  <c r="B28" i="9" s="1"/>
  <c r="C9" i="7"/>
  <c r="J27" i="9"/>
  <c r="I26" i="7"/>
  <c r="D26" i="7" s="1"/>
  <c r="B26" i="9" s="1"/>
  <c r="I15" i="7"/>
  <c r="D15" i="7"/>
  <c r="B15" i="9" s="1"/>
  <c r="J16" i="9"/>
  <c r="C32" i="7"/>
  <c r="CT89" i="9" l="1"/>
  <c r="CW89" i="9" s="1"/>
  <c r="AI94" i="9"/>
  <c r="AL94" i="9" s="1"/>
  <c r="BD52" i="9"/>
  <c r="BG52" i="9" s="1"/>
  <c r="BD49" i="9"/>
  <c r="BG49" i="9" s="1"/>
  <c r="DO83" i="9"/>
  <c r="DR83" i="9" s="1"/>
  <c r="DO110" i="9"/>
  <c r="DR110" i="9" s="1"/>
  <c r="BY104" i="9"/>
  <c r="CB104" i="9" s="1"/>
  <c r="BD107" i="9"/>
  <c r="BG107" i="9" s="1"/>
  <c r="BY62" i="9"/>
  <c r="CB62" i="9" s="1"/>
  <c r="BD108" i="9"/>
  <c r="BG108" i="9" s="1"/>
  <c r="AI50" i="9"/>
  <c r="AL50" i="9" s="1"/>
  <c r="CT58" i="9"/>
  <c r="CW58" i="9" s="1"/>
  <c r="AI47" i="9"/>
  <c r="AL47" i="9" s="1"/>
  <c r="AI61" i="9"/>
  <c r="AL61" i="9" s="1"/>
  <c r="N59" i="9"/>
  <c r="Q59" i="9" s="1"/>
  <c r="BD50" i="9"/>
  <c r="BG50" i="9" s="1"/>
  <c r="AI93" i="9"/>
  <c r="AL93" i="9" s="1"/>
  <c r="CT73" i="9"/>
  <c r="CW73" i="9" s="1"/>
  <c r="CT67" i="9"/>
  <c r="CW67" i="9" s="1"/>
  <c r="DO52" i="9"/>
  <c r="DR52" i="9" s="1"/>
  <c r="AI69" i="9"/>
  <c r="AL69" i="9" s="1"/>
  <c r="BD91" i="9"/>
  <c r="BG91" i="9" s="1"/>
  <c r="DO69" i="9"/>
  <c r="DR69" i="9" s="1"/>
  <c r="BD47" i="9"/>
  <c r="BG47" i="9" s="1"/>
  <c r="BD86" i="9"/>
  <c r="BG86" i="9" s="1"/>
  <c r="BY59" i="9"/>
  <c r="CB59" i="9" s="1"/>
  <c r="BY66" i="9"/>
  <c r="CB66" i="9" s="1"/>
  <c r="BY109" i="9"/>
  <c r="CB109" i="9" s="1"/>
  <c r="BD44" i="9"/>
  <c r="BG44" i="9" s="1"/>
  <c r="BD100" i="9"/>
  <c r="BG100" i="9" s="1"/>
  <c r="AI105" i="9"/>
  <c r="AL105" i="9" s="1"/>
  <c r="BD98" i="9"/>
  <c r="BG98" i="9" s="1"/>
  <c r="BY101" i="9"/>
  <c r="CB101" i="9" s="1"/>
  <c r="BD97" i="9"/>
  <c r="BG97" i="9" s="1"/>
  <c r="N107" i="9"/>
  <c r="Q107" i="9" s="1"/>
  <c r="CT84" i="9"/>
  <c r="CW84" i="9" s="1"/>
  <c r="N52" i="9"/>
  <c r="Q52" i="9" s="1"/>
  <c r="BD84" i="9"/>
  <c r="BG84" i="9" s="1"/>
  <c r="AI70" i="9"/>
  <c r="AL70" i="9" s="1"/>
  <c r="N96" i="9"/>
  <c r="Q96" i="9" s="1"/>
  <c r="N97" i="9"/>
  <c r="Q97" i="9" s="1"/>
  <c r="DO58" i="9"/>
  <c r="DR58" i="9" s="1"/>
  <c r="DO64" i="9"/>
  <c r="DR64" i="9" s="1"/>
  <c r="DO59" i="9"/>
  <c r="DR59" i="9" s="1"/>
  <c r="DO56" i="9"/>
  <c r="DR56" i="9" s="1"/>
  <c r="DO106" i="9"/>
  <c r="DR106" i="9" s="1"/>
  <c r="AI86" i="9"/>
  <c r="AL86" i="9" s="1"/>
  <c r="N45" i="9"/>
  <c r="Q45" i="9" s="1"/>
  <c r="DO44" i="9"/>
  <c r="DR44" i="9" s="1"/>
  <c r="N93" i="9"/>
  <c r="Q93" i="9" s="1"/>
  <c r="BD66" i="9"/>
  <c r="BG66" i="9" s="1"/>
  <c r="N86" i="9"/>
  <c r="Q86" i="9" s="1"/>
  <c r="BY73" i="9"/>
  <c r="CB73" i="9" s="1"/>
  <c r="CT81" i="9"/>
  <c r="CW81" i="9" s="1"/>
  <c r="BY82" i="9"/>
  <c r="CB82" i="9" s="1"/>
  <c r="AI44" i="9"/>
  <c r="AL44" i="9" s="1"/>
  <c r="CT48" i="9"/>
  <c r="CW48" i="9" s="1"/>
  <c r="N101" i="9"/>
  <c r="Q101" i="9" s="1"/>
  <c r="CT57" i="9"/>
  <c r="CW57" i="9" s="1"/>
  <c r="N85" i="9"/>
  <c r="Q85" i="9" s="1"/>
  <c r="CT107" i="9"/>
  <c r="CW107" i="9" s="1"/>
  <c r="N60" i="9"/>
  <c r="Q60" i="9" s="1"/>
  <c r="AI108" i="9"/>
  <c r="AL108" i="9" s="1"/>
  <c r="AI84" i="9"/>
  <c r="AL84" i="9" s="1"/>
  <c r="AI58" i="9"/>
  <c r="AL58" i="9" s="1"/>
  <c r="CT63" i="9"/>
  <c r="CW63" i="9" s="1"/>
  <c r="BY57" i="9"/>
  <c r="CB57" i="9" s="1"/>
  <c r="CT49" i="9"/>
  <c r="CW49" i="9" s="1"/>
  <c r="BD68" i="9"/>
  <c r="BG68" i="9" s="1"/>
  <c r="AI99" i="9"/>
  <c r="AL99" i="9" s="1"/>
  <c r="BD72" i="9"/>
  <c r="BG72" i="9" s="1"/>
  <c r="DO74" i="9"/>
  <c r="DR74" i="9" s="1"/>
  <c r="BD69" i="9"/>
  <c r="BG69" i="9" s="1"/>
  <c r="BY51" i="9"/>
  <c r="CB51" i="9" s="1"/>
  <c r="CT95" i="9"/>
  <c r="CW95" i="9" s="1"/>
  <c r="CT47" i="9"/>
  <c r="CW47" i="9" s="1"/>
  <c r="BY52" i="9"/>
  <c r="CB52" i="9" s="1"/>
  <c r="BD51" i="9"/>
  <c r="BG51" i="9" s="1"/>
  <c r="DO80" i="9"/>
  <c r="DR80" i="9" s="1"/>
  <c r="BY56" i="9"/>
  <c r="CB56" i="9" s="1"/>
  <c r="AI103" i="9"/>
  <c r="AL103" i="9" s="1"/>
  <c r="AI83" i="9"/>
  <c r="AL83" i="9" s="1"/>
  <c r="AI97" i="9"/>
  <c r="AL97" i="9" s="1"/>
  <c r="N98" i="9"/>
  <c r="Q98" i="9" s="1"/>
  <c r="N109" i="9"/>
  <c r="Q109" i="9" s="1"/>
  <c r="AI66" i="9"/>
  <c r="AL66" i="9" s="1"/>
  <c r="N71" i="9"/>
  <c r="Q71" i="9" s="1"/>
  <c r="DO71" i="9"/>
  <c r="DR71" i="9" s="1"/>
  <c r="DO67" i="9"/>
  <c r="DR67" i="9" s="1"/>
  <c r="BD60" i="9"/>
  <c r="BG60" i="9" s="1"/>
  <c r="X22" i="9"/>
  <c r="AB22" i="9"/>
  <c r="AD22" i="9"/>
  <c r="E20" i="9"/>
  <c r="F21" i="9"/>
  <c r="G21" i="9"/>
  <c r="AA22" i="9"/>
  <c r="U22" i="9"/>
  <c r="T22" i="9"/>
  <c r="C20" i="9"/>
  <c r="Y22" i="9"/>
  <c r="Z22" i="9"/>
  <c r="W22" i="9"/>
  <c r="AC22" i="9"/>
  <c r="Y10" i="9"/>
  <c r="U10" i="9"/>
  <c r="X10" i="9"/>
  <c r="D9" i="11" s="1"/>
  <c r="T10" i="9"/>
  <c r="C8" i="9"/>
  <c r="E8" i="9"/>
  <c r="F9" i="9"/>
  <c r="AB10" i="9"/>
  <c r="AD10" i="9"/>
  <c r="AA10" i="9"/>
  <c r="G9" i="9"/>
  <c r="AC10" i="9"/>
  <c r="W10" i="9"/>
  <c r="C9" i="11" s="1"/>
  <c r="Z10" i="9"/>
  <c r="AB27" i="9"/>
  <c r="AD27" i="9"/>
  <c r="G26" i="11" s="1"/>
  <c r="Y27" i="9"/>
  <c r="X27" i="9"/>
  <c r="D26" i="11" s="1"/>
  <c r="C25" i="9"/>
  <c r="G26" i="9"/>
  <c r="T27" i="9"/>
  <c r="U27" i="9"/>
  <c r="E25" i="9"/>
  <c r="AA27" i="9"/>
  <c r="Z27" i="9"/>
  <c r="W27" i="9"/>
  <c r="C26" i="11" s="1"/>
  <c r="AC27" i="9"/>
  <c r="X32" i="9"/>
  <c r="D31" i="11" s="1"/>
  <c r="AB32" i="9"/>
  <c r="Y32" i="9"/>
  <c r="AD32" i="9"/>
  <c r="E30" i="9"/>
  <c r="C30" i="9"/>
  <c r="G31" i="9"/>
  <c r="T32" i="9"/>
  <c r="F31" i="9"/>
  <c r="U32" i="9"/>
  <c r="AA32" i="9"/>
  <c r="W32" i="9"/>
  <c r="C31" i="11" s="1"/>
  <c r="Z32" i="9"/>
  <c r="AC32" i="9"/>
  <c r="Y28" i="9"/>
  <c r="AB28" i="9"/>
  <c r="G27" i="9"/>
  <c r="AD28" i="9"/>
  <c r="X28" i="9"/>
  <c r="D27" i="11" s="1"/>
  <c r="F27" i="9"/>
  <c r="U28" i="9"/>
  <c r="T28" i="9"/>
  <c r="C26" i="9"/>
  <c r="E26" i="9"/>
  <c r="AA28" i="9"/>
  <c r="Z28" i="9"/>
  <c r="AC28" i="9"/>
  <c r="W28" i="9"/>
  <c r="C27" i="11" s="1"/>
  <c r="AB11" i="9"/>
  <c r="Y11" i="9"/>
  <c r="AD11" i="9"/>
  <c r="G10" i="11" s="1"/>
  <c r="X11" i="9"/>
  <c r="D10" i="11" s="1"/>
  <c r="E9" i="9"/>
  <c r="C9" i="9"/>
  <c r="T11" i="9"/>
  <c r="U11" i="9"/>
  <c r="G10" i="9"/>
  <c r="AA11" i="9"/>
  <c r="Z11" i="9"/>
  <c r="W11" i="9"/>
  <c r="C10" i="11" s="1"/>
  <c r="AC11" i="9"/>
  <c r="X7" i="9"/>
  <c r="D6" i="11" s="1"/>
  <c r="AB7" i="9"/>
  <c r="AD7" i="9"/>
  <c r="C5" i="9"/>
  <c r="G6" i="9"/>
  <c r="U7" i="9"/>
  <c r="E5" i="9"/>
  <c r="T7" i="9"/>
  <c r="AA7" i="9"/>
  <c r="Y7" i="9"/>
  <c r="W7" i="9"/>
  <c r="C6" i="11" s="1"/>
  <c r="Z7" i="9"/>
  <c r="AC7" i="9"/>
  <c r="F6" i="11" s="1"/>
  <c r="AB4" i="9"/>
  <c r="Y4" i="9"/>
  <c r="AD4" i="9"/>
  <c r="X4" i="9"/>
  <c r="F3" i="9"/>
  <c r="E2" i="9"/>
  <c r="AA4" i="9"/>
  <c r="U4" i="9"/>
  <c r="G3" i="9"/>
  <c r="C2" i="9"/>
  <c r="T4" i="9"/>
  <c r="AC4" i="9"/>
  <c r="W4" i="9"/>
  <c r="Z4" i="9"/>
  <c r="X21" i="9"/>
  <c r="AB21" i="9"/>
  <c r="AD21" i="9"/>
  <c r="Y21" i="9"/>
  <c r="E19" i="9"/>
  <c r="T21" i="9"/>
  <c r="G20" i="9"/>
  <c r="C19" i="9"/>
  <c r="U21" i="9"/>
  <c r="AA21" i="9"/>
  <c r="Z21" i="9"/>
  <c r="W21" i="9"/>
  <c r="AC21" i="9"/>
  <c r="AB17" i="9"/>
  <c r="AD17" i="9"/>
  <c r="X17" i="9"/>
  <c r="Y17" i="9"/>
  <c r="T17" i="9"/>
  <c r="U17" i="9"/>
  <c r="E15" i="9"/>
  <c r="G16" i="9"/>
  <c r="C15" i="9"/>
  <c r="AA17" i="9"/>
  <c r="W17" i="9"/>
  <c r="AC17" i="9"/>
  <c r="Z17" i="9"/>
  <c r="H19" i="2"/>
  <c r="G20" i="2"/>
  <c r="Y9" i="9"/>
  <c r="AB9" i="9"/>
  <c r="AD9" i="9"/>
  <c r="E7" i="9"/>
  <c r="X9" i="9"/>
  <c r="D8" i="11" s="1"/>
  <c r="C7" i="9"/>
  <c r="G8" i="9"/>
  <c r="T9" i="9"/>
  <c r="U9" i="9"/>
  <c r="AA9" i="9"/>
  <c r="Z9" i="9"/>
  <c r="AC9" i="9"/>
  <c r="W9" i="9"/>
  <c r="C8" i="11" s="1"/>
  <c r="AB25" i="9"/>
  <c r="E24" i="11" s="1"/>
  <c r="Y25" i="9"/>
  <c r="AD25" i="9"/>
  <c r="X25" i="9"/>
  <c r="D24" i="11" s="1"/>
  <c r="T25" i="9"/>
  <c r="U25" i="9"/>
  <c r="C23" i="9"/>
  <c r="AA25" i="9"/>
  <c r="G24" i="9"/>
  <c r="E23" i="9"/>
  <c r="W25" i="9"/>
  <c r="C24" i="11" s="1"/>
  <c r="Z25" i="9"/>
  <c r="AC25" i="9"/>
  <c r="S2" i="6"/>
  <c r="S3" i="6"/>
  <c r="F19" i="6"/>
  <c r="X19" i="9"/>
  <c r="AB19" i="9"/>
  <c r="AD19" i="9"/>
  <c r="Y19" i="9"/>
  <c r="E17" i="9"/>
  <c r="G18" i="9"/>
  <c r="C17" i="9"/>
  <c r="T19" i="9"/>
  <c r="U19" i="9"/>
  <c r="AA19" i="9"/>
  <c r="AC19" i="9"/>
  <c r="Z19" i="9"/>
  <c r="W19" i="9"/>
  <c r="C11" i="9"/>
  <c r="AB13" i="9"/>
  <c r="AD13" i="9"/>
  <c r="X13" i="9"/>
  <c r="D12" i="11" s="1"/>
  <c r="E11" i="9"/>
  <c r="Y13" i="9"/>
  <c r="T13" i="9"/>
  <c r="U13" i="9"/>
  <c r="AA13" i="9"/>
  <c r="G12" i="9"/>
  <c r="W13" i="9"/>
  <c r="C12" i="11" s="1"/>
  <c r="Z13" i="9"/>
  <c r="AC13" i="9"/>
  <c r="X20" i="9"/>
  <c r="AB20" i="9"/>
  <c r="AD20" i="9"/>
  <c r="Y20" i="9"/>
  <c r="C18" i="9"/>
  <c r="G19" i="9"/>
  <c r="AA20" i="9"/>
  <c r="U20" i="9"/>
  <c r="T20" i="9"/>
  <c r="E18" i="9"/>
  <c r="F19" i="9"/>
  <c r="Z20" i="9"/>
  <c r="W20" i="9"/>
  <c r="AC20" i="9"/>
  <c r="AB5" i="9"/>
  <c r="E4" i="11" s="1"/>
  <c r="X5" i="9"/>
  <c r="AD5" i="9"/>
  <c r="Y5" i="9"/>
  <c r="C3" i="9"/>
  <c r="G4" i="9"/>
  <c r="T5" i="9"/>
  <c r="U5" i="9"/>
  <c r="E3" i="9"/>
  <c r="AA5" i="9"/>
  <c r="Z5" i="9"/>
  <c r="W5" i="9"/>
  <c r="C4" i="11" s="1"/>
  <c r="AC5" i="9"/>
  <c r="AB31" i="9"/>
  <c r="AD31" i="9"/>
  <c r="Y31" i="9"/>
  <c r="AA31" i="9"/>
  <c r="F30" i="9"/>
  <c r="C29" i="9"/>
  <c r="X31" i="9"/>
  <c r="D30" i="11" s="1"/>
  <c r="T31" i="9"/>
  <c r="U31" i="9"/>
  <c r="G30" i="9"/>
  <c r="E29" i="9"/>
  <c r="Z31" i="9"/>
  <c r="W31" i="9"/>
  <c r="C30" i="11" s="1"/>
  <c r="AC31" i="9"/>
  <c r="E32" i="11"/>
  <c r="L33" i="9"/>
  <c r="D18" i="11"/>
  <c r="E18" i="11"/>
  <c r="F18" i="11"/>
  <c r="G18" i="11"/>
  <c r="B18" i="11"/>
  <c r="C18" i="11"/>
  <c r="L19" i="9"/>
  <c r="BY95" i="9"/>
  <c r="CB95" i="9" s="1"/>
  <c r="N54" i="9"/>
  <c r="Q54" i="9" s="1"/>
  <c r="BD89" i="9"/>
  <c r="BG89" i="9" s="1"/>
  <c r="DO68" i="9"/>
  <c r="DR68" i="9" s="1"/>
  <c r="AI65" i="9"/>
  <c r="AL65" i="9" s="1"/>
  <c r="N95" i="9"/>
  <c r="Q95" i="9" s="1"/>
  <c r="BD81" i="9"/>
  <c r="BG81" i="9" s="1"/>
  <c r="BY48" i="9"/>
  <c r="CB48" i="9" s="1"/>
  <c r="N55" i="9"/>
  <c r="Q55" i="9" s="1"/>
  <c r="BY106" i="9"/>
  <c r="CB106" i="9" s="1"/>
  <c r="DO62" i="9"/>
  <c r="DR62" i="9" s="1"/>
  <c r="BY105" i="9"/>
  <c r="CB105" i="9" s="1"/>
  <c r="D20" i="11"/>
  <c r="E20" i="11"/>
  <c r="F20" i="11"/>
  <c r="G20" i="11"/>
  <c r="B20" i="11"/>
  <c r="C20" i="11"/>
  <c r="L21" i="9"/>
  <c r="BD93" i="9"/>
  <c r="BG93" i="9" s="1"/>
  <c r="AI88" i="9"/>
  <c r="AL88" i="9" s="1"/>
  <c r="AI95" i="9"/>
  <c r="AL95" i="9" s="1"/>
  <c r="AI82" i="9"/>
  <c r="AL82" i="9" s="1"/>
  <c r="N63" i="9"/>
  <c r="Q63" i="9" s="1"/>
  <c r="N48" i="9"/>
  <c r="Q48" i="9" s="1"/>
  <c r="DO57" i="9"/>
  <c r="DR57" i="9" s="1"/>
  <c r="AI109" i="9"/>
  <c r="AL109" i="9" s="1"/>
  <c r="N108" i="9"/>
  <c r="Q108" i="9" s="1"/>
  <c r="DO107" i="9"/>
  <c r="DR107" i="9" s="1"/>
  <c r="CT60" i="9"/>
  <c r="CW60" i="9" s="1"/>
  <c r="BD105" i="9"/>
  <c r="BG105" i="9" s="1"/>
  <c r="O75" i="9"/>
  <c r="P76" i="9" s="1"/>
  <c r="B113" i="9" s="1"/>
  <c r="O111" i="9"/>
  <c r="P112" i="9" s="1"/>
  <c r="B119" i="9" s="1"/>
  <c r="B14" i="11"/>
  <c r="C14" i="11"/>
  <c r="D14" i="11"/>
  <c r="E14" i="11"/>
  <c r="F14" i="11"/>
  <c r="G14" i="11"/>
  <c r="L15" i="9"/>
  <c r="I23" i="2"/>
  <c r="F24" i="11"/>
  <c r="G24" i="11"/>
  <c r="L25" i="9"/>
  <c r="BY67" i="9"/>
  <c r="CB67" i="9" s="1"/>
  <c r="CT99" i="9"/>
  <c r="CW99" i="9" s="1"/>
  <c r="DO46" i="9"/>
  <c r="DR46" i="9" s="1"/>
  <c r="AI102" i="9"/>
  <c r="AL102" i="9" s="1"/>
  <c r="N47" i="9"/>
  <c r="Q47" i="9" s="1"/>
  <c r="N66" i="9"/>
  <c r="Q66" i="9" s="1"/>
  <c r="CT62" i="9"/>
  <c r="CW62" i="9" s="1"/>
  <c r="CT68" i="9"/>
  <c r="CW68" i="9" s="1"/>
  <c r="AI46" i="9"/>
  <c r="AL46" i="9" s="1"/>
  <c r="N100" i="9"/>
  <c r="Q100" i="9" s="1"/>
  <c r="BY71" i="9"/>
  <c r="CB71" i="9" s="1"/>
  <c r="N105" i="9"/>
  <c r="Q105" i="9" s="1"/>
  <c r="BD64" i="9"/>
  <c r="BG64" i="9" s="1"/>
  <c r="DO63" i="9"/>
  <c r="DR63" i="9" s="1"/>
  <c r="CT100" i="9"/>
  <c r="CW100" i="9" s="1"/>
  <c r="BY72" i="9"/>
  <c r="CB72" i="9" s="1"/>
  <c r="BD63" i="9"/>
  <c r="BG63" i="9" s="1"/>
  <c r="DO55" i="9"/>
  <c r="DR55" i="9" s="1"/>
  <c r="N56" i="9"/>
  <c r="Q56" i="9" s="1"/>
  <c r="BY107" i="9"/>
  <c r="CB107" i="9" s="1"/>
  <c r="BD56" i="9"/>
  <c r="BG56" i="9" s="1"/>
  <c r="DO49" i="9"/>
  <c r="DR49" i="9" s="1"/>
  <c r="AB15" i="9"/>
  <c r="AD15" i="9"/>
  <c r="X15" i="9"/>
  <c r="Y15" i="9"/>
  <c r="T15" i="9"/>
  <c r="U15" i="9"/>
  <c r="AA15" i="9"/>
  <c r="E13" i="9"/>
  <c r="G14" i="9"/>
  <c r="C13" i="9"/>
  <c r="Z15" i="9"/>
  <c r="W15" i="9"/>
  <c r="AC15" i="9"/>
  <c r="G11" i="11"/>
  <c r="L12" i="9"/>
  <c r="G2" i="11"/>
  <c r="L3" i="9"/>
  <c r="F22" i="11"/>
  <c r="G22" i="11"/>
  <c r="L23" i="9"/>
  <c r="BY65" i="9"/>
  <c r="CB65" i="9" s="1"/>
  <c r="BD80" i="9"/>
  <c r="BG80" i="9" s="1"/>
  <c r="N62" i="9"/>
  <c r="Q62" i="9" s="1"/>
  <c r="N64" i="9"/>
  <c r="Q64" i="9" s="1"/>
  <c r="DO97" i="9"/>
  <c r="DR97" i="9" s="1"/>
  <c r="BY97" i="9"/>
  <c r="CB97" i="9" s="1"/>
  <c r="DO65" i="9"/>
  <c r="DR65" i="9" s="1"/>
  <c r="N92" i="9"/>
  <c r="Q92" i="9" s="1"/>
  <c r="AI73" i="9"/>
  <c r="AL73" i="9" s="1"/>
  <c r="N110" i="9"/>
  <c r="Q110" i="9" s="1"/>
  <c r="BY98" i="9"/>
  <c r="CB98" i="9" s="1"/>
  <c r="N90" i="9"/>
  <c r="Q90" i="9" s="1"/>
  <c r="N74" i="9"/>
  <c r="Q74" i="9" s="1"/>
  <c r="BY45" i="9"/>
  <c r="CB45" i="9" s="1"/>
  <c r="BD106" i="9"/>
  <c r="BG106" i="9" s="1"/>
  <c r="AI67" i="9"/>
  <c r="AL67" i="9" s="1"/>
  <c r="DO86" i="9"/>
  <c r="DR86" i="9" s="1"/>
  <c r="CT59" i="9"/>
  <c r="CW59" i="9" s="1"/>
  <c r="BY80" i="9"/>
  <c r="CB80" i="9" s="1"/>
  <c r="BD61" i="9"/>
  <c r="BG61" i="9" s="1"/>
  <c r="DO100" i="9"/>
  <c r="DR100" i="9" s="1"/>
  <c r="BY81" i="9"/>
  <c r="CB81" i="9" s="1"/>
  <c r="AI87" i="9"/>
  <c r="AL87" i="9" s="1"/>
  <c r="BD110" i="9"/>
  <c r="BG110" i="9" s="1"/>
  <c r="BD53" i="9"/>
  <c r="BG53" i="9" s="1"/>
  <c r="AB3" i="9"/>
  <c r="AD3" i="9"/>
  <c r="X3" i="9"/>
  <c r="D2" i="11" s="1"/>
  <c r="Y3" i="9"/>
  <c r="E36" i="9"/>
  <c r="A36" i="9"/>
  <c r="G2" i="9"/>
  <c r="U3" i="9"/>
  <c r="AA3" i="9"/>
  <c r="T3" i="9"/>
  <c r="W3" i="9"/>
  <c r="C2" i="11" s="1"/>
  <c r="Z3" i="9"/>
  <c r="AC3" i="9"/>
  <c r="F2" i="11" s="1"/>
  <c r="E26" i="11"/>
  <c r="F26" i="11"/>
  <c r="L27" i="9"/>
  <c r="E30" i="11"/>
  <c r="F30" i="11"/>
  <c r="G30" i="11"/>
  <c r="L31" i="9"/>
  <c r="N102" i="9"/>
  <c r="Q102" i="9" s="1"/>
  <c r="BY88" i="9"/>
  <c r="CB88" i="9" s="1"/>
  <c r="AI80" i="9"/>
  <c r="AL80" i="9" s="1"/>
  <c r="BY46" i="9"/>
  <c r="CB46" i="9" s="1"/>
  <c r="AI106" i="9"/>
  <c r="AL106" i="9" s="1"/>
  <c r="N46" i="9"/>
  <c r="Q46" i="9" s="1"/>
  <c r="BD73" i="9"/>
  <c r="BG73" i="9" s="1"/>
  <c r="AI98" i="9"/>
  <c r="AL98" i="9" s="1"/>
  <c r="N65" i="9"/>
  <c r="Q65" i="9" s="1"/>
  <c r="DO95" i="9"/>
  <c r="DR95" i="9" s="1"/>
  <c r="BY61" i="9"/>
  <c r="CB61" i="9" s="1"/>
  <c r="BD82" i="9"/>
  <c r="BG82" i="9" s="1"/>
  <c r="AI59" i="9"/>
  <c r="AL59" i="9" s="1"/>
  <c r="DO109" i="9"/>
  <c r="DR109" i="9" s="1"/>
  <c r="N89" i="9"/>
  <c r="Q89" i="9" s="1"/>
  <c r="AI54" i="9"/>
  <c r="AL54" i="9" s="1"/>
  <c r="N87" i="9"/>
  <c r="Q87" i="9" s="1"/>
  <c r="N68" i="9"/>
  <c r="Q68" i="9" s="1"/>
  <c r="AI51" i="9"/>
  <c r="AL51" i="9" s="1"/>
  <c r="BZ111" i="9"/>
  <c r="CA112" i="9" s="1"/>
  <c r="B122" i="9" s="1"/>
  <c r="CU111" i="9"/>
  <c r="CV112" i="9" s="1"/>
  <c r="B123" i="9" s="1"/>
  <c r="CU75" i="9"/>
  <c r="CV76" i="9" s="1"/>
  <c r="B117" i="9" s="1"/>
  <c r="E3" i="11"/>
  <c r="F3" i="11"/>
  <c r="G3" i="11"/>
  <c r="L4" i="9"/>
  <c r="Y30" i="9"/>
  <c r="AB30" i="9"/>
  <c r="X30" i="9"/>
  <c r="D29" i="11" s="1"/>
  <c r="AD30" i="9"/>
  <c r="G29" i="11" s="1"/>
  <c r="G29" i="9"/>
  <c r="U30" i="9"/>
  <c r="T30" i="9"/>
  <c r="C28" i="9"/>
  <c r="AA30" i="9"/>
  <c r="E28" i="9"/>
  <c r="F29" i="9"/>
  <c r="W30" i="9"/>
  <c r="C29" i="11" s="1"/>
  <c r="AC30" i="9"/>
  <c r="Z30" i="9"/>
  <c r="E9" i="11"/>
  <c r="F9" i="11"/>
  <c r="G9" i="11"/>
  <c r="L10" i="9"/>
  <c r="Y26" i="9"/>
  <c r="U26" i="9"/>
  <c r="AB26" i="9"/>
  <c r="AD26" i="9"/>
  <c r="X26" i="9"/>
  <c r="D25" i="11" s="1"/>
  <c r="F25" i="9"/>
  <c r="C24" i="9"/>
  <c r="AA26" i="9"/>
  <c r="T26" i="9"/>
  <c r="E24" i="9"/>
  <c r="G25" i="9"/>
  <c r="W26" i="9"/>
  <c r="C25" i="11" s="1"/>
  <c r="Z26" i="9"/>
  <c r="AC26" i="9"/>
  <c r="F25" i="11" s="1"/>
  <c r="BY96" i="9"/>
  <c r="CB96" i="9" s="1"/>
  <c r="CT101" i="9"/>
  <c r="CW101" i="9" s="1"/>
  <c r="DO45" i="9"/>
  <c r="DR45" i="9" s="1"/>
  <c r="AI60" i="9"/>
  <c r="AL60" i="9" s="1"/>
  <c r="N103" i="9"/>
  <c r="Q103" i="9" s="1"/>
  <c r="BY54" i="9"/>
  <c r="CB54" i="9" s="1"/>
  <c r="N44" i="9"/>
  <c r="Q44" i="9" s="1"/>
  <c r="AI81" i="9"/>
  <c r="AL81" i="9" s="1"/>
  <c r="CT74" i="9"/>
  <c r="CW74" i="9" s="1"/>
  <c r="CT92" i="9"/>
  <c r="CW92" i="9" s="1"/>
  <c r="DO50" i="9"/>
  <c r="DR50" i="9" s="1"/>
  <c r="N72" i="9"/>
  <c r="Q72" i="9" s="1"/>
  <c r="BY108" i="9"/>
  <c r="CB108" i="9" s="1"/>
  <c r="BY60" i="9"/>
  <c r="CB60" i="9" s="1"/>
  <c r="AI71" i="9"/>
  <c r="AL71" i="9" s="1"/>
  <c r="BD96" i="9"/>
  <c r="BG96" i="9" s="1"/>
  <c r="CT91" i="9"/>
  <c r="CW91" i="9" s="1"/>
  <c r="BD65" i="9"/>
  <c r="BG65" i="9" s="1"/>
  <c r="DO92" i="9"/>
  <c r="DR92" i="9" s="1"/>
  <c r="N57" i="9"/>
  <c r="Q57" i="9" s="1"/>
  <c r="DO87" i="9"/>
  <c r="DR87" i="9" s="1"/>
  <c r="DO53" i="9"/>
  <c r="DR53" i="9" s="1"/>
  <c r="DO54" i="9"/>
  <c r="DR54" i="9" s="1"/>
  <c r="DO51" i="9"/>
  <c r="DR51" i="9" s="1"/>
  <c r="AI110" i="9"/>
  <c r="AL110" i="9" s="1"/>
  <c r="N49" i="9"/>
  <c r="Q49" i="9" s="1"/>
  <c r="Y24" i="9"/>
  <c r="X24" i="9"/>
  <c r="D23" i="11" s="1"/>
  <c r="AB24" i="9"/>
  <c r="AD24" i="9"/>
  <c r="G23" i="11" s="1"/>
  <c r="F23" i="9"/>
  <c r="C22" i="9"/>
  <c r="AA24" i="9"/>
  <c r="U24" i="9"/>
  <c r="E22" i="9"/>
  <c r="T24" i="9"/>
  <c r="G23" i="9"/>
  <c r="W24" i="9"/>
  <c r="C23" i="11" s="1"/>
  <c r="Z24" i="9"/>
  <c r="AC24" i="9"/>
  <c r="F23" i="11" s="1"/>
  <c r="BY89" i="9"/>
  <c r="CB89" i="9" s="1"/>
  <c r="DO82" i="9"/>
  <c r="DR82" i="9" s="1"/>
  <c r="CT83" i="9"/>
  <c r="CW83" i="9" s="1"/>
  <c r="BE111" i="9"/>
  <c r="BF112" i="9" s="1"/>
  <c r="B121" i="9" s="1"/>
  <c r="C28" i="8"/>
  <c r="E27" i="8"/>
  <c r="E13" i="11"/>
  <c r="F13" i="11"/>
  <c r="G13" i="11"/>
  <c r="L14" i="9"/>
  <c r="E23" i="11"/>
  <c r="L24" i="9"/>
  <c r="BD46" i="9"/>
  <c r="BG46" i="9" s="1"/>
  <c r="BD101" i="9"/>
  <c r="BG101" i="9" s="1"/>
  <c r="BY100" i="9"/>
  <c r="CB100" i="9" s="1"/>
  <c r="BY92" i="9"/>
  <c r="CB92" i="9" s="1"/>
  <c r="BD104" i="9"/>
  <c r="BG104" i="9" s="1"/>
  <c r="AI63" i="9"/>
  <c r="AL63" i="9" s="1"/>
  <c r="BD94" i="9"/>
  <c r="BG94" i="9" s="1"/>
  <c r="E7" i="11"/>
  <c r="L8" i="9"/>
  <c r="CT105" i="9"/>
  <c r="CW105" i="9" s="1"/>
  <c r="N50" i="9"/>
  <c r="Q50" i="9" s="1"/>
  <c r="BY64" i="9"/>
  <c r="CB64" i="9" s="1"/>
  <c r="CT98" i="9"/>
  <c r="CW98" i="9" s="1"/>
  <c r="BD74" i="9"/>
  <c r="BG74" i="9" s="1"/>
  <c r="AI96" i="9"/>
  <c r="AL96" i="9" s="1"/>
  <c r="DO93" i="9"/>
  <c r="DR93" i="9" s="1"/>
  <c r="BD90" i="9"/>
  <c r="BG90" i="9" s="1"/>
  <c r="BD95" i="9"/>
  <c r="BG95" i="9" s="1"/>
  <c r="CT104" i="9"/>
  <c r="CW104" i="9" s="1"/>
  <c r="CT71" i="9"/>
  <c r="CW71" i="9" s="1"/>
  <c r="N94" i="9"/>
  <c r="Q94" i="9" s="1"/>
  <c r="CT88" i="9"/>
  <c r="CW88" i="9" s="1"/>
  <c r="BD87" i="9"/>
  <c r="BG87" i="9" s="1"/>
  <c r="N61" i="9"/>
  <c r="Q61" i="9" s="1"/>
  <c r="CT86" i="9"/>
  <c r="CW86" i="9" s="1"/>
  <c r="DO96" i="9"/>
  <c r="DR96" i="9" s="1"/>
  <c r="AI107" i="9"/>
  <c r="AL107" i="9" s="1"/>
  <c r="BY55" i="9"/>
  <c r="CB55" i="9" s="1"/>
  <c r="AI100" i="9"/>
  <c r="AL100" i="9" s="1"/>
  <c r="BY53" i="9"/>
  <c r="CB53" i="9" s="1"/>
  <c r="CT108" i="9"/>
  <c r="CW108" i="9" s="1"/>
  <c r="DP75" i="9"/>
  <c r="DQ76" i="9" s="1"/>
  <c r="B118" i="9" s="1"/>
  <c r="E29" i="11"/>
  <c r="F29" i="11"/>
  <c r="L30" i="9"/>
  <c r="AI74" i="9"/>
  <c r="AL74" i="9" s="1"/>
  <c r="AI104" i="9"/>
  <c r="AL104" i="9" s="1"/>
  <c r="AI64" i="9"/>
  <c r="AL64" i="9" s="1"/>
  <c r="AI85" i="9"/>
  <c r="AL85" i="9" s="1"/>
  <c r="CT106" i="9"/>
  <c r="CW106" i="9" s="1"/>
  <c r="BY102" i="9"/>
  <c r="CB102" i="9" s="1"/>
  <c r="AJ75" i="9"/>
  <c r="AK76" i="9" s="1"/>
  <c r="B114" i="9" s="1"/>
  <c r="N99" i="9"/>
  <c r="Q99" i="9" s="1"/>
  <c r="DO91" i="9"/>
  <c r="DR91" i="9" s="1"/>
  <c r="CT82" i="9"/>
  <c r="CW82" i="9" s="1"/>
  <c r="AI89" i="9"/>
  <c r="AL89" i="9" s="1"/>
  <c r="BD57" i="9"/>
  <c r="BG57" i="9" s="1"/>
  <c r="DO72" i="9"/>
  <c r="DR72" i="9" s="1"/>
  <c r="BD55" i="9"/>
  <c r="BG55" i="9" s="1"/>
  <c r="BY90" i="9"/>
  <c r="CB90" i="9" s="1"/>
  <c r="F16" i="11"/>
  <c r="G16" i="11"/>
  <c r="B16" i="11"/>
  <c r="C16" i="11"/>
  <c r="D16" i="11"/>
  <c r="E16" i="11"/>
  <c r="L17" i="9"/>
  <c r="AB29" i="9"/>
  <c r="AD29" i="9"/>
  <c r="X29" i="9"/>
  <c r="D28" i="11" s="1"/>
  <c r="Y29" i="9"/>
  <c r="G28" i="9"/>
  <c r="AA29" i="9"/>
  <c r="E27" i="9"/>
  <c r="T29" i="9"/>
  <c r="C27" i="9"/>
  <c r="U29" i="9"/>
  <c r="W29" i="9"/>
  <c r="C28" i="11" s="1"/>
  <c r="Z29" i="9"/>
  <c r="AC29" i="9"/>
  <c r="T14" i="9"/>
  <c r="Y14" i="9"/>
  <c r="U14" i="9"/>
  <c r="AB14" i="9"/>
  <c r="AD14" i="9"/>
  <c r="X14" i="9"/>
  <c r="D13" i="11" s="1"/>
  <c r="AA14" i="9"/>
  <c r="G13" i="9"/>
  <c r="E12" i="9"/>
  <c r="F13" i="9"/>
  <c r="C12" i="9"/>
  <c r="AC14" i="9"/>
  <c r="W14" i="9"/>
  <c r="C13" i="11" s="1"/>
  <c r="Z14" i="9"/>
  <c r="BD62" i="9"/>
  <c r="BG62" i="9" s="1"/>
  <c r="BY103" i="9"/>
  <c r="CB103" i="9" s="1"/>
  <c r="N69" i="9"/>
  <c r="Q69" i="9" s="1"/>
  <c r="CT64" i="9"/>
  <c r="CW64" i="9" s="1"/>
  <c r="E6" i="9"/>
  <c r="X8" i="9"/>
  <c r="D7" i="11" s="1"/>
  <c r="AB8" i="9"/>
  <c r="AD8" i="9"/>
  <c r="G7" i="11" s="1"/>
  <c r="G7" i="9"/>
  <c r="U8" i="9"/>
  <c r="T8" i="9"/>
  <c r="C6" i="9"/>
  <c r="Y8" i="9"/>
  <c r="F7" i="9"/>
  <c r="AA8" i="9"/>
  <c r="AC8" i="9"/>
  <c r="F7" i="11" s="1"/>
  <c r="Z8" i="9"/>
  <c r="W8" i="9"/>
  <c r="C7" i="11" s="1"/>
  <c r="BY69" i="9"/>
  <c r="CB69" i="9" s="1"/>
  <c r="Y16" i="9"/>
  <c r="AB16" i="9"/>
  <c r="AD16" i="9"/>
  <c r="X16" i="9"/>
  <c r="F15" i="9"/>
  <c r="C14" i="9"/>
  <c r="AA16" i="9"/>
  <c r="U16" i="9"/>
  <c r="G15" i="9"/>
  <c r="T16" i="9"/>
  <c r="F36" i="9"/>
  <c r="C36" i="9" s="1"/>
  <c r="E14" i="9"/>
  <c r="Z16" i="9"/>
  <c r="AC16" i="9"/>
  <c r="W16" i="9"/>
  <c r="E8" i="11"/>
  <c r="F8" i="11"/>
  <c r="G8" i="11"/>
  <c r="L9" i="9"/>
  <c r="DO47" i="9"/>
  <c r="DR47" i="9" s="1"/>
  <c r="CT56" i="9"/>
  <c r="CW56" i="9" s="1"/>
  <c r="BD54" i="9"/>
  <c r="BG54" i="9" s="1"/>
  <c r="BY84" i="9"/>
  <c r="CB84" i="9" s="1"/>
  <c r="BY70" i="9"/>
  <c r="CB70" i="9" s="1"/>
  <c r="N81" i="9"/>
  <c r="Q81" i="9" s="1"/>
  <c r="BD92" i="9"/>
  <c r="BG92" i="9" s="1"/>
  <c r="BY87" i="9"/>
  <c r="CB87" i="9" s="1"/>
  <c r="AI90" i="9"/>
  <c r="AL90" i="9" s="1"/>
  <c r="BY68" i="9"/>
  <c r="CB68" i="9" s="1"/>
  <c r="CT52" i="9"/>
  <c r="CW52" i="9" s="1"/>
  <c r="DO73" i="9"/>
  <c r="DR73" i="9" s="1"/>
  <c r="DO101" i="9"/>
  <c r="DR101" i="9" s="1"/>
  <c r="BY47" i="9"/>
  <c r="CB47" i="9" s="1"/>
  <c r="N70" i="9"/>
  <c r="Q70" i="9" s="1"/>
  <c r="BY94" i="9"/>
  <c r="CB94" i="9" s="1"/>
  <c r="DO61" i="9"/>
  <c r="DR61" i="9" s="1"/>
  <c r="CT87" i="9"/>
  <c r="CW87" i="9" s="1"/>
  <c r="CT90" i="9"/>
  <c r="CW90" i="9" s="1"/>
  <c r="N91" i="9"/>
  <c r="Q91" i="9" s="1"/>
  <c r="AI55" i="9"/>
  <c r="AL55" i="9" s="1"/>
  <c r="N84" i="9"/>
  <c r="Q84" i="9" s="1"/>
  <c r="AI53" i="9"/>
  <c r="AL53" i="9" s="1"/>
  <c r="DO94" i="9"/>
  <c r="DR94" i="9" s="1"/>
  <c r="E10" i="11"/>
  <c r="F10" i="11"/>
  <c r="L11" i="9"/>
  <c r="AB23" i="9"/>
  <c r="E22" i="11" s="1"/>
  <c r="AD23" i="9"/>
  <c r="T23" i="9"/>
  <c r="E21" i="9"/>
  <c r="U23" i="9"/>
  <c r="G22" i="9"/>
  <c r="Y23" i="9"/>
  <c r="C21" i="9"/>
  <c r="X23" i="9"/>
  <c r="D22" i="11" s="1"/>
  <c r="AA23" i="9"/>
  <c r="Z23" i="9"/>
  <c r="AC23" i="9"/>
  <c r="W23" i="9"/>
  <c r="C22" i="11" s="1"/>
  <c r="C10" i="9"/>
  <c r="F11" i="9"/>
  <c r="Y12" i="9"/>
  <c r="T12" i="9"/>
  <c r="AB12" i="9"/>
  <c r="E11" i="11" s="1"/>
  <c r="AD12" i="9"/>
  <c r="AA12" i="9"/>
  <c r="U12" i="9"/>
  <c r="E10" i="9"/>
  <c r="X12" i="9"/>
  <c r="D11" i="11" s="1"/>
  <c r="G11" i="9"/>
  <c r="AC12" i="9"/>
  <c r="F11" i="11" s="1"/>
  <c r="Z12" i="9"/>
  <c r="W12" i="9"/>
  <c r="C11" i="11" s="1"/>
  <c r="E25" i="11"/>
  <c r="G25" i="11"/>
  <c r="L26" i="9"/>
  <c r="G21" i="2"/>
  <c r="R51" i="9"/>
  <c r="AM51" i="9"/>
  <c r="BH55" i="9"/>
  <c r="CC47" i="9"/>
  <c r="CX47" i="9"/>
  <c r="DS47" i="9"/>
  <c r="R87" i="9"/>
  <c r="AM103" i="9"/>
  <c r="BH107" i="9"/>
  <c r="CC107" i="9"/>
  <c r="DS103" i="9"/>
  <c r="DS88" i="9"/>
  <c r="DS94" i="9"/>
  <c r="CC86" i="9"/>
  <c r="BH110" i="9"/>
  <c r="AM86" i="9"/>
  <c r="R66" i="9"/>
  <c r="DS68" i="9"/>
  <c r="DS50" i="9"/>
  <c r="DS60" i="9"/>
  <c r="BH68" i="9"/>
  <c r="BH62" i="9"/>
  <c r="R53" i="9"/>
  <c r="AM53" i="9"/>
  <c r="BH57" i="9"/>
  <c r="CC49" i="9"/>
  <c r="CX49" i="9"/>
  <c r="DS49" i="9"/>
  <c r="R89" i="9"/>
  <c r="AM105" i="9"/>
  <c r="BH109" i="9"/>
  <c r="CC109" i="9"/>
  <c r="CX81" i="9"/>
  <c r="DS105" i="9"/>
  <c r="DS84" i="9"/>
  <c r="DS86" i="9"/>
  <c r="CC108" i="9"/>
  <c r="CC102" i="9"/>
  <c r="AM82" i="9"/>
  <c r="R58" i="9"/>
  <c r="BH72" i="9"/>
  <c r="AM72" i="9"/>
  <c r="AM70" i="9"/>
  <c r="DS52" i="9"/>
  <c r="BH60" i="9"/>
  <c r="BH54" i="9"/>
  <c r="AM107" i="9"/>
  <c r="R55" i="9"/>
  <c r="AM55" i="9"/>
  <c r="BH59" i="9"/>
  <c r="CC51" i="9"/>
  <c r="CX51" i="9"/>
  <c r="DS51" i="9"/>
  <c r="R91" i="9"/>
  <c r="R57" i="9"/>
  <c r="AM57" i="9"/>
  <c r="BH61" i="9"/>
  <c r="CC53" i="9"/>
  <c r="CX53" i="9"/>
  <c r="DS53" i="9"/>
  <c r="R93" i="9"/>
  <c r="AM109" i="9"/>
  <c r="BH81" i="9"/>
  <c r="CC81" i="9"/>
  <c r="CX85" i="9"/>
  <c r="DS109" i="9"/>
  <c r="CX104" i="9"/>
  <c r="CX94" i="9"/>
  <c r="CC92" i="9"/>
  <c r="BH102" i="9"/>
  <c r="BH92" i="9"/>
  <c r="AM104" i="9"/>
  <c r="R48" i="9"/>
  <c r="R59" i="9"/>
  <c r="AM59" i="9"/>
  <c r="BH63" i="9"/>
  <c r="CC55" i="9"/>
  <c r="CX55" i="9"/>
  <c r="DS55" i="9"/>
  <c r="R95" i="9"/>
  <c r="BH83" i="9"/>
  <c r="CC83" i="9"/>
  <c r="CX87" i="9"/>
  <c r="CX100" i="9"/>
  <c r="R61" i="9"/>
  <c r="AM61" i="9"/>
  <c r="BH65" i="9"/>
  <c r="CC57" i="9"/>
  <c r="CX57" i="9"/>
  <c r="DS57" i="9"/>
  <c r="R97" i="9"/>
  <c r="AM81" i="9"/>
  <c r="BH85" i="9"/>
  <c r="CC85" i="9"/>
  <c r="CX89" i="9"/>
  <c r="DS81" i="9"/>
  <c r="CX96" i="9"/>
  <c r="DS96" i="9"/>
  <c r="CC106" i="9"/>
  <c r="BH94" i="9"/>
  <c r="BH104" i="9"/>
  <c r="AM92" i="9"/>
  <c r="R72" i="9"/>
  <c r="R108" i="9"/>
  <c r="R63" i="9"/>
  <c r="AM63" i="9"/>
  <c r="BH67" i="9"/>
  <c r="CC59" i="9"/>
  <c r="CX59" i="9"/>
  <c r="DS59" i="9"/>
  <c r="R99" i="9"/>
  <c r="R65" i="9"/>
  <c r="AM65" i="9"/>
  <c r="BH69" i="9"/>
  <c r="CC61" i="9"/>
  <c r="CX61" i="9"/>
  <c r="DS61" i="9"/>
  <c r="R101" i="9"/>
  <c r="AM85" i="9"/>
  <c r="BH89" i="9"/>
  <c r="CC89" i="9"/>
  <c r="CX93" i="9"/>
  <c r="DS85" i="9"/>
  <c r="CX84" i="9"/>
  <c r="CC80" i="9"/>
  <c r="BH86" i="9"/>
  <c r="BH88" i="9"/>
  <c r="AM84" i="9"/>
  <c r="R64" i="9"/>
  <c r="BH74" i="9"/>
  <c r="CX46" i="9"/>
  <c r="CC74" i="9"/>
  <c r="CX70" i="9"/>
  <c r="R67" i="9"/>
  <c r="AM67" i="9"/>
  <c r="BH71" i="9"/>
  <c r="CC63" i="9"/>
  <c r="CX63" i="9"/>
  <c r="DS63" i="9"/>
  <c r="R103" i="9"/>
  <c r="AM87" i="9"/>
  <c r="BH91" i="9"/>
  <c r="CC91" i="9"/>
  <c r="CX95" i="9"/>
  <c r="DS87" i="9"/>
  <c r="BH82" i="9"/>
  <c r="R56" i="9"/>
  <c r="BH70" i="9"/>
  <c r="DS70" i="9"/>
  <c r="CC70" i="9"/>
  <c r="CX66" i="9"/>
  <c r="BH48" i="9"/>
  <c r="CC64" i="9"/>
  <c r="R92" i="9"/>
  <c r="R90" i="9"/>
  <c r="R71" i="9"/>
  <c r="AM71" i="9"/>
  <c r="CC67" i="9"/>
  <c r="CX67" i="9"/>
  <c r="DS67" i="9"/>
  <c r="R107" i="9"/>
  <c r="AM91" i="9"/>
  <c r="BH95" i="9"/>
  <c r="CC95" i="9"/>
  <c r="CX99" i="9"/>
  <c r="DS91" i="9"/>
  <c r="DS106" i="9"/>
  <c r="DS98" i="9"/>
  <c r="CC96" i="9"/>
  <c r="BH80" i="9"/>
  <c r="AM110" i="9"/>
  <c r="BH47" i="9"/>
  <c r="CC71" i="9"/>
  <c r="CX71" i="9"/>
  <c r="R45" i="9"/>
  <c r="AM45" i="9"/>
  <c r="BH49" i="9"/>
  <c r="CC73" i="9"/>
  <c r="CX73" i="9"/>
  <c r="DS73" i="9"/>
  <c r="R81" i="9"/>
  <c r="AM97" i="9"/>
  <c r="BH101" i="9"/>
  <c r="CC101" i="9"/>
  <c r="CX105" i="9"/>
  <c r="DS97" i="9"/>
  <c r="DS108" i="9"/>
  <c r="CX106" i="9"/>
  <c r="CX90" i="9"/>
  <c r="CC98" i="9"/>
  <c r="AM98" i="9"/>
  <c r="R50" i="9"/>
  <c r="CC50" i="9"/>
  <c r="DS66" i="9"/>
  <c r="R96" i="9"/>
  <c r="R86" i="9"/>
  <c r="DS48" i="9"/>
  <c r="AM49" i="9"/>
  <c r="CC45" i="9"/>
  <c r="CX97" i="9"/>
  <c r="DS95" i="9"/>
  <c r="DS92" i="9"/>
  <c r="CX86" i="9"/>
  <c r="CC84" i="9"/>
  <c r="BH98" i="9"/>
  <c r="R52" i="9"/>
  <c r="CC66" i="9"/>
  <c r="BH58" i="9"/>
  <c r="DS64" i="9"/>
  <c r="AM69" i="9"/>
  <c r="DS45" i="9"/>
  <c r="CC87" i="9"/>
  <c r="CX101" i="9"/>
  <c r="CX108" i="9"/>
  <c r="CX88" i="9"/>
  <c r="R68" i="9"/>
  <c r="CC62" i="9"/>
  <c r="AM62" i="9"/>
  <c r="BH50" i="9"/>
  <c r="DS56" i="9"/>
  <c r="CC97" i="9"/>
  <c r="AM106" i="9"/>
  <c r="CC105" i="9"/>
  <c r="CC82" i="9"/>
  <c r="AM90" i="9"/>
  <c r="CX68" i="9"/>
  <c r="I4" i="11"/>
  <c r="DS100" i="9"/>
  <c r="R70" i="9"/>
  <c r="CX102" i="9"/>
  <c r="CC65" i="9"/>
  <c r="DS99" i="9"/>
  <c r="BH90" i="9"/>
  <c r="CC88" i="9"/>
  <c r="CC54" i="9"/>
  <c r="CC48" i="9"/>
  <c r="CX83" i="9"/>
  <c r="CX91" i="9"/>
  <c r="BH66" i="9"/>
  <c r="AM73" i="9"/>
  <c r="CC69" i="9"/>
  <c r="DS65" i="9"/>
  <c r="CC93" i="9"/>
  <c r="CX103" i="9"/>
  <c r="DS101" i="9"/>
  <c r="CX92" i="9"/>
  <c r="CC104" i="9"/>
  <c r="R44" i="9"/>
  <c r="CC58" i="9"/>
  <c r="AM46" i="9"/>
  <c r="CC56" i="9"/>
  <c r="AM64" i="9"/>
  <c r="CX107" i="9"/>
  <c r="DS107" i="9"/>
  <c r="AM80" i="9"/>
  <c r="AM48" i="9"/>
  <c r="BH45" i="9"/>
  <c r="BH93" i="9"/>
  <c r="AM60" i="9"/>
  <c r="CC94" i="9"/>
  <c r="AM66" i="9"/>
  <c r="AM74" i="9"/>
  <c r="R109" i="9"/>
  <c r="DS74" i="9"/>
  <c r="DS62" i="9"/>
  <c r="R80" i="9"/>
  <c r="DS69" i="9"/>
  <c r="DS110" i="9"/>
  <c r="R54" i="9"/>
  <c r="CC60" i="9"/>
  <c r="AM50" i="9"/>
  <c r="CC52" i="9"/>
  <c r="CX52" i="9"/>
  <c r="R85" i="9"/>
  <c r="DS90" i="9"/>
  <c r="CX56" i="9"/>
  <c r="AM101" i="9"/>
  <c r="DS102" i="9"/>
  <c r="R84" i="9"/>
  <c r="DS93" i="9"/>
  <c r="DS71" i="9"/>
  <c r="CC99" i="9"/>
  <c r="CX109" i="9"/>
  <c r="DS82" i="9"/>
  <c r="AM102" i="9"/>
  <c r="R46" i="9"/>
  <c r="CC46" i="9"/>
  <c r="BH64" i="9"/>
  <c r="R102" i="9"/>
  <c r="BH46" i="9"/>
  <c r="CX82" i="9"/>
  <c r="DS58" i="9"/>
  <c r="CX60" i="9"/>
  <c r="BH52" i="9"/>
  <c r="R110" i="9"/>
  <c r="R100" i="9"/>
  <c r="AM47" i="9"/>
  <c r="DS104" i="9"/>
  <c r="BH87" i="9"/>
  <c r="CC103" i="9"/>
  <c r="CX110" i="9"/>
  <c r="CC90" i="9"/>
  <c r="AM94" i="9"/>
  <c r="R62" i="9"/>
  <c r="CX50" i="9"/>
  <c r="DS72" i="9"/>
  <c r="BH56" i="9"/>
  <c r="R94" i="9"/>
  <c r="CC68" i="9"/>
  <c r="AM58" i="9"/>
  <c r="BH100" i="9"/>
  <c r="AM52" i="9"/>
  <c r="R106" i="9"/>
  <c r="R74" i="9"/>
  <c r="AM44" i="9"/>
  <c r="R47" i="9"/>
  <c r="BH51" i="9"/>
  <c r="BH97" i="9"/>
  <c r="CX80" i="9"/>
  <c r="AM100" i="9"/>
  <c r="R49" i="9"/>
  <c r="BH53" i="9"/>
  <c r="CX45" i="9"/>
  <c r="AM83" i="9"/>
  <c r="BH99" i="9"/>
  <c r="CC110" i="9"/>
  <c r="BH84" i="9"/>
  <c r="AM96" i="9"/>
  <c r="CC44" i="9"/>
  <c r="AM56" i="9"/>
  <c r="BH44" i="9"/>
  <c r="R69" i="9"/>
  <c r="BH73" i="9"/>
  <c r="CX65" i="9"/>
  <c r="AM89" i="9"/>
  <c r="BH103" i="9"/>
  <c r="DS80" i="9"/>
  <c r="BH96" i="9"/>
  <c r="AM88" i="9"/>
  <c r="CX72" i="9"/>
  <c r="CX74" i="9"/>
  <c r="R104" i="9"/>
  <c r="CX44" i="9"/>
  <c r="R98" i="9"/>
  <c r="R88" i="9"/>
  <c r="R82" i="9"/>
  <c r="DS44" i="9"/>
  <c r="DS83" i="9"/>
  <c r="CC100" i="9"/>
  <c r="DS54" i="9"/>
  <c r="R73" i="9"/>
  <c r="CX69" i="9"/>
  <c r="R83" i="9"/>
  <c r="AM93" i="9"/>
  <c r="BH105" i="9"/>
  <c r="BH108" i="9"/>
  <c r="CX62" i="9"/>
  <c r="CX64" i="9"/>
  <c r="AM95" i="9"/>
  <c r="CX58" i="9"/>
  <c r="DS46" i="9"/>
  <c r="DS89" i="9"/>
  <c r="BH106" i="9"/>
  <c r="R105" i="9"/>
  <c r="AM99" i="9"/>
  <c r="CX98" i="9"/>
  <c r="AM108" i="9"/>
  <c r="R60" i="9"/>
  <c r="CC72" i="9"/>
  <c r="CX54" i="9"/>
  <c r="AM68" i="9"/>
  <c r="CX48" i="9"/>
  <c r="AM54" i="9"/>
  <c r="I19" i="2"/>
  <c r="J19" i="2" s="1"/>
  <c r="BY49" i="9"/>
  <c r="CB49" i="9" s="1"/>
  <c r="AI48" i="9"/>
  <c r="AL48" i="9" s="1"/>
  <c r="CT53" i="9"/>
  <c r="CW53" i="9" s="1"/>
  <c r="B15" i="11"/>
  <c r="E15" i="11"/>
  <c r="C15" i="11"/>
  <c r="F15" i="11"/>
  <c r="G15" i="11"/>
  <c r="D15" i="11"/>
  <c r="L16" i="9"/>
  <c r="F45" i="2"/>
  <c r="B34" i="7"/>
  <c r="F21" i="6"/>
  <c r="E27" i="2" s="1"/>
  <c r="F20" i="6"/>
  <c r="G30" i="2"/>
  <c r="K30" i="2"/>
  <c r="L30" i="2" s="1"/>
  <c r="E30" i="2"/>
  <c r="I30" i="2"/>
  <c r="J30" i="2" s="1"/>
  <c r="M42" i="2"/>
  <c r="M44" i="2" s="1"/>
  <c r="CT72" i="9"/>
  <c r="CW72" i="9" s="1"/>
  <c r="BY74" i="9"/>
  <c r="CB74" i="9" s="1"/>
  <c r="DO85" i="9"/>
  <c r="DR85" i="9" s="1"/>
  <c r="CT66" i="9"/>
  <c r="CW66" i="9" s="1"/>
  <c r="CT69" i="9"/>
  <c r="CW69" i="9" s="1"/>
  <c r="CT44" i="9"/>
  <c r="CW44" i="9" s="1"/>
  <c r="X18" i="9"/>
  <c r="E16" i="9"/>
  <c r="AB18" i="9"/>
  <c r="T18" i="9"/>
  <c r="Y18" i="9"/>
  <c r="AD18" i="9"/>
  <c r="F17" i="9"/>
  <c r="AA18" i="9"/>
  <c r="G17" i="9"/>
  <c r="U18" i="9"/>
  <c r="C16" i="9"/>
  <c r="Z18" i="9"/>
  <c r="AC18" i="9"/>
  <c r="W18" i="9"/>
  <c r="D4" i="11"/>
  <c r="F4" i="11"/>
  <c r="G4" i="11"/>
  <c r="L5" i="9"/>
  <c r="G21" i="11"/>
  <c r="I5" i="11"/>
  <c r="C21" i="11"/>
  <c r="D21" i="11"/>
  <c r="E21" i="11"/>
  <c r="F21" i="11"/>
  <c r="L22" i="9"/>
  <c r="S4" i="6"/>
  <c r="N104" i="9"/>
  <c r="Q104" i="9" s="1"/>
  <c r="DO60" i="9"/>
  <c r="DR60" i="9" s="1"/>
  <c r="DO104" i="9"/>
  <c r="DR104" i="9" s="1"/>
  <c r="N83" i="9"/>
  <c r="Q83" i="9" s="1"/>
  <c r="CT65" i="9"/>
  <c r="CW65" i="9" s="1"/>
  <c r="CT80" i="9"/>
  <c r="CW80" i="9" s="1"/>
  <c r="AI49" i="9"/>
  <c r="AL49" i="9" s="1"/>
  <c r="DO84" i="9"/>
  <c r="DR84" i="9" s="1"/>
  <c r="CT70" i="9"/>
  <c r="CW70" i="9" s="1"/>
  <c r="BD58" i="9"/>
  <c r="BG58" i="9" s="1"/>
  <c r="CT103" i="9"/>
  <c r="CW103" i="9" s="1"/>
  <c r="BD45" i="9"/>
  <c r="BG45" i="9" s="1"/>
  <c r="DO88" i="9"/>
  <c r="DR88" i="9" s="1"/>
  <c r="DO102" i="9"/>
  <c r="DR102" i="9" s="1"/>
  <c r="BD70" i="9"/>
  <c r="BG70" i="9" s="1"/>
  <c r="CT61" i="9"/>
  <c r="CW61" i="9" s="1"/>
  <c r="BY85" i="9"/>
  <c r="CB85" i="9" s="1"/>
  <c r="DO89" i="9"/>
  <c r="DR89" i="9" s="1"/>
  <c r="CT55" i="9"/>
  <c r="CW55" i="9" s="1"/>
  <c r="N53" i="9"/>
  <c r="Q53" i="9" s="1"/>
  <c r="N88" i="9"/>
  <c r="Q88" i="9" s="1"/>
  <c r="N51" i="9"/>
  <c r="Q51" i="9" s="1"/>
  <c r="DO105" i="9"/>
  <c r="DR105" i="9" s="1"/>
  <c r="DP111" i="9"/>
  <c r="DQ112" i="9" s="1"/>
  <c r="B124" i="9" s="1"/>
  <c r="E5" i="11"/>
  <c r="F5" i="11"/>
  <c r="L6" i="9"/>
  <c r="E28" i="11"/>
  <c r="F28" i="11"/>
  <c r="G28" i="11"/>
  <c r="L29" i="9"/>
  <c r="B19" i="11"/>
  <c r="C19" i="11"/>
  <c r="E19" i="11"/>
  <c r="F19" i="11"/>
  <c r="D19" i="11"/>
  <c r="G19" i="11"/>
  <c r="L20" i="9"/>
  <c r="E27" i="11"/>
  <c r="F27" i="11"/>
  <c r="G27" i="11"/>
  <c r="L28" i="9"/>
  <c r="E20" i="2"/>
  <c r="E23" i="2" s="1"/>
  <c r="F19" i="2"/>
  <c r="E6" i="11"/>
  <c r="G6" i="11"/>
  <c r="L7" i="9"/>
  <c r="BY110" i="9"/>
  <c r="CB110" i="9" s="1"/>
  <c r="AI62" i="9"/>
  <c r="AL62" i="9" s="1"/>
  <c r="AI68" i="9"/>
  <c r="AL68" i="9" s="1"/>
  <c r="BY58" i="9"/>
  <c r="CB58" i="9" s="1"/>
  <c r="CT51" i="9"/>
  <c r="CW51" i="9" s="1"/>
  <c r="E17" i="11"/>
  <c r="F17" i="11"/>
  <c r="G17" i="11"/>
  <c r="B17" i="11"/>
  <c r="C17" i="11"/>
  <c r="D17" i="11"/>
  <c r="L18" i="9"/>
  <c r="BY93" i="9"/>
  <c r="CB93" i="9" s="1"/>
  <c r="DO103" i="9"/>
  <c r="DR103" i="9" s="1"/>
  <c r="E31" i="11"/>
  <c r="F31" i="11"/>
  <c r="G31" i="11"/>
  <c r="L32" i="9"/>
  <c r="N106" i="9"/>
  <c r="Q106" i="9" s="1"/>
  <c r="BD88" i="9"/>
  <c r="BG88" i="9" s="1"/>
  <c r="CT94" i="9"/>
  <c r="CW94" i="9" s="1"/>
  <c r="BD71" i="9"/>
  <c r="BG71" i="9" s="1"/>
  <c r="CT102" i="9"/>
  <c r="CW102" i="9" s="1"/>
  <c r="BD103" i="9"/>
  <c r="BG103" i="9" s="1"/>
  <c r="BY50" i="9"/>
  <c r="CB50" i="9" s="1"/>
  <c r="AI56" i="9"/>
  <c r="AL56" i="9" s="1"/>
  <c r="BY44" i="9"/>
  <c r="CB44" i="9" s="1"/>
  <c r="BD99" i="9"/>
  <c r="BG99" i="9" s="1"/>
  <c r="AI45" i="9"/>
  <c r="AL45" i="9" s="1"/>
  <c r="DO90" i="9"/>
  <c r="DR90" i="9" s="1"/>
  <c r="CT93" i="9"/>
  <c r="CW93" i="9" s="1"/>
  <c r="BD48" i="9"/>
  <c r="BG48" i="9" s="1"/>
  <c r="BY63" i="9"/>
  <c r="CB63" i="9" s="1"/>
  <c r="BD83" i="9"/>
  <c r="BG83" i="9" s="1"/>
  <c r="CT85" i="9"/>
  <c r="CW85" i="9" s="1"/>
  <c r="BD59" i="9"/>
  <c r="BG59" i="9" s="1"/>
  <c r="BD102" i="9"/>
  <c r="BG102" i="9" s="1"/>
  <c r="DO81" i="9"/>
  <c r="DR81" i="9" s="1"/>
  <c r="T6" i="9"/>
  <c r="AB6" i="9"/>
  <c r="X6" i="9"/>
  <c r="D5" i="11" s="1"/>
  <c r="AD6" i="9"/>
  <c r="G5" i="11" s="1"/>
  <c r="Y6" i="9"/>
  <c r="G5" i="9"/>
  <c r="U6" i="9"/>
  <c r="C4" i="9"/>
  <c r="E4" i="9"/>
  <c r="AA6" i="9"/>
  <c r="F5" i="9"/>
  <c r="AC6" i="9"/>
  <c r="Z6" i="9"/>
  <c r="W6" i="9"/>
  <c r="C5" i="11" s="1"/>
  <c r="E12" i="11"/>
  <c r="F12" i="11"/>
  <c r="G12" i="11"/>
  <c r="L13" i="9"/>
  <c r="BZ75" i="9"/>
  <c r="CA76" i="9" s="1"/>
  <c r="B116" i="9" s="1"/>
  <c r="K23" i="2"/>
  <c r="AB33" i="9"/>
  <c r="AD33" i="9"/>
  <c r="G32" i="11" s="1"/>
  <c r="Y33" i="9"/>
  <c r="X33" i="9"/>
  <c r="D32" i="11" s="1"/>
  <c r="E32" i="9"/>
  <c r="C32" i="9"/>
  <c r="F32" i="9"/>
  <c r="E31" i="9"/>
  <c r="G32" i="9"/>
  <c r="C31" i="9"/>
  <c r="U33" i="9"/>
  <c r="AA33" i="9"/>
  <c r="T33" i="9"/>
  <c r="Z33" i="9"/>
  <c r="AC33" i="9"/>
  <c r="F32" i="11" s="1"/>
  <c r="W33" i="9"/>
  <c r="C32" i="11" s="1"/>
  <c r="CT46" i="9"/>
  <c r="CW46" i="9" s="1"/>
  <c r="N58" i="9"/>
  <c r="Q58" i="9" s="1"/>
  <c r="CT110" i="9"/>
  <c r="CW110" i="9" s="1"/>
  <c r="DO99" i="9"/>
  <c r="DR99" i="9" s="1"/>
  <c r="N67" i="9"/>
  <c r="Q67" i="9" s="1"/>
  <c r="BD109" i="9"/>
  <c r="BG109" i="9" s="1"/>
  <c r="CT45" i="9"/>
  <c r="CW45" i="9" s="1"/>
  <c r="DO70" i="9"/>
  <c r="DR70" i="9" s="1"/>
  <c r="AI92" i="9"/>
  <c r="AL92" i="9" s="1"/>
  <c r="CT54" i="9"/>
  <c r="CW54" i="9" s="1"/>
  <c r="AI101" i="9"/>
  <c r="AL101" i="9" s="1"/>
  <c r="N73" i="9"/>
  <c r="Q73" i="9" s="1"/>
  <c r="CT97" i="9"/>
  <c r="CW97" i="9" s="1"/>
  <c r="AI72" i="9"/>
  <c r="AL72" i="9" s="1"/>
  <c r="BY91" i="9"/>
  <c r="CB91" i="9" s="1"/>
  <c r="DO48" i="9"/>
  <c r="DR48" i="9" s="1"/>
  <c r="BD67" i="9"/>
  <c r="BG67" i="9" s="1"/>
  <c r="AI91" i="9"/>
  <c r="AL91" i="9" s="1"/>
  <c r="BY83" i="9"/>
  <c r="CB83" i="9" s="1"/>
  <c r="N82" i="9"/>
  <c r="Q82" i="9" s="1"/>
  <c r="AI57" i="9"/>
  <c r="AL57" i="9" s="1"/>
  <c r="DO108" i="9"/>
  <c r="DR108" i="9" s="1"/>
  <c r="AI52" i="9"/>
  <c r="AL52" i="9" s="1"/>
  <c r="CT109" i="9"/>
  <c r="CW109" i="9" s="1"/>
  <c r="BE75" i="9"/>
  <c r="BF76" i="9" s="1"/>
  <c r="B115" i="9" s="1"/>
  <c r="AJ111" i="9"/>
  <c r="AK112" i="9" s="1"/>
  <c r="B120" i="9" s="1"/>
  <c r="E15" i="8"/>
  <c r="C16" i="8"/>
  <c r="E16" i="8" s="1"/>
  <c r="Q75" i="9" l="1"/>
  <c r="CW111" i="9"/>
  <c r="AL111" i="9"/>
  <c r="AM111" i="9"/>
  <c r="E33" i="2"/>
  <c r="K33" i="2"/>
  <c r="K31" i="2"/>
  <c r="G33" i="2"/>
  <c r="I33" i="2"/>
  <c r="D34" i="7"/>
  <c r="I31" i="2"/>
  <c r="E32" i="2"/>
  <c r="I32" i="2"/>
  <c r="G32" i="2"/>
  <c r="K32" i="2"/>
  <c r="R76" i="9"/>
  <c r="C113" i="9" s="1"/>
  <c r="M5" i="9"/>
  <c r="K5" i="9" s="1"/>
  <c r="N5" i="9"/>
  <c r="N15" i="9"/>
  <c r="M15" i="9"/>
  <c r="K15" i="9"/>
  <c r="G31" i="2"/>
  <c r="H30" i="2"/>
  <c r="N19" i="9"/>
  <c r="M19" i="9"/>
  <c r="K19" i="9"/>
  <c r="Z36" i="9"/>
  <c r="M32" i="9"/>
  <c r="N32" i="9"/>
  <c r="K32" i="9" s="1"/>
  <c r="M6" i="9"/>
  <c r="K6" i="9" s="1"/>
  <c r="N6" i="9"/>
  <c r="C31" i="8"/>
  <c r="E28" i="8"/>
  <c r="N31" i="9"/>
  <c r="K31" i="9" s="1"/>
  <c r="M31" i="9"/>
  <c r="C3" i="11"/>
  <c r="W36" i="9"/>
  <c r="M9" i="9"/>
  <c r="K9" i="9" s="1"/>
  <c r="N9" i="9"/>
  <c r="N30" i="9"/>
  <c r="K30" i="9" s="1"/>
  <c r="M30" i="9"/>
  <c r="M4" i="9"/>
  <c r="K4" i="9" s="1"/>
  <c r="N4" i="9"/>
  <c r="CB111" i="9"/>
  <c r="M3" i="9"/>
  <c r="K3" i="9" s="1"/>
  <c r="N3" i="9"/>
  <c r="AC36" i="9"/>
  <c r="B34" i="11"/>
  <c r="AB38" i="9"/>
  <c r="AC38" i="9" s="1"/>
  <c r="M22" i="9"/>
  <c r="N22" i="9"/>
  <c r="K22" i="9"/>
  <c r="CC75" i="9"/>
  <c r="T36" i="9"/>
  <c r="G23" i="2"/>
  <c r="K24" i="2" s="1"/>
  <c r="C33" i="9"/>
  <c r="E31" i="2"/>
  <c r="E34" i="2" s="1"/>
  <c r="F30" i="2"/>
  <c r="N13" i="9"/>
  <c r="M13" i="9"/>
  <c r="K13" i="9"/>
  <c r="R111" i="9"/>
  <c r="N17" i="9"/>
  <c r="M17" i="9"/>
  <c r="K17" i="9"/>
  <c r="M14" i="9"/>
  <c r="N14" i="9"/>
  <c r="K14" i="9"/>
  <c r="U36" i="9"/>
  <c r="CX75" i="9"/>
  <c r="DS75" i="9"/>
  <c r="G19" i="6"/>
  <c r="C34" i="7"/>
  <c r="AA36" i="9"/>
  <c r="Q111" i="9"/>
  <c r="G33" i="9"/>
  <c r="N23" i="9"/>
  <c r="M23" i="9"/>
  <c r="K23" i="9"/>
  <c r="E33" i="9"/>
  <c r="AL75" i="9"/>
  <c r="N16" i="9"/>
  <c r="M16" i="9"/>
  <c r="K16" i="9"/>
  <c r="AM112" i="9"/>
  <c r="C120" i="9" s="1"/>
  <c r="N25" i="9"/>
  <c r="M25" i="9"/>
  <c r="K25" i="9"/>
  <c r="BH75" i="9"/>
  <c r="CX111" i="9"/>
  <c r="CX112" i="9" s="1"/>
  <c r="C123" i="9" s="1"/>
  <c r="N27" i="9"/>
  <c r="K27" i="9" s="1"/>
  <c r="M27" i="9"/>
  <c r="D38" i="9"/>
  <c r="M21" i="9"/>
  <c r="N21" i="9"/>
  <c r="K21" i="9"/>
  <c r="BG111" i="9"/>
  <c r="F33" i="9"/>
  <c r="M11" i="9"/>
  <c r="N11" i="9"/>
  <c r="K11" i="9"/>
  <c r="AM75" i="9"/>
  <c r="DS111" i="9"/>
  <c r="CC111" i="9"/>
  <c r="R75" i="9"/>
  <c r="CB75" i="9"/>
  <c r="CC76" i="9" s="1"/>
  <c r="C116" i="9" s="1"/>
  <c r="E2" i="11"/>
  <c r="A34" i="11" s="1"/>
  <c r="D3" i="11"/>
  <c r="X36" i="9"/>
  <c r="M8" i="9"/>
  <c r="K8" i="9" s="1"/>
  <c r="N8" i="9"/>
  <c r="BG75" i="9"/>
  <c r="N29" i="9"/>
  <c r="K29" i="9" s="1"/>
  <c r="M29" i="9"/>
  <c r="N18" i="9"/>
  <c r="M18" i="9"/>
  <c r="K18" i="9"/>
  <c r="BH111" i="9"/>
  <c r="M26" i="9"/>
  <c r="N26" i="9"/>
  <c r="K26" i="9"/>
  <c r="DR75" i="9"/>
  <c r="DS76" i="9" s="1"/>
  <c r="C118" i="9" s="1"/>
  <c r="Y38" i="9"/>
  <c r="Z38" i="9" s="1"/>
  <c r="N12" i="9"/>
  <c r="M12" i="9"/>
  <c r="K12" i="9"/>
  <c r="B125" i="9"/>
  <c r="Q23" i="2" s="1"/>
  <c r="B126" i="9"/>
  <c r="M33" i="9"/>
  <c r="N33" i="9"/>
  <c r="K33" i="9" s="1"/>
  <c r="AD36" i="9"/>
  <c r="N20" i="9"/>
  <c r="M20" i="9"/>
  <c r="K20" i="9"/>
  <c r="M28" i="9"/>
  <c r="N28" i="9"/>
  <c r="K28" i="9" s="1"/>
  <c r="M7" i="9"/>
  <c r="K7" i="9" s="1"/>
  <c r="N7" i="9"/>
  <c r="CW75" i="9"/>
  <c r="CX76" i="9" s="1"/>
  <c r="C117" i="9" s="1"/>
  <c r="M45" i="2"/>
  <c r="F46" i="2" s="1"/>
  <c r="F44" i="2" s="1"/>
  <c r="F47" i="2"/>
  <c r="M10" i="9"/>
  <c r="N10" i="9"/>
  <c r="K10" i="9"/>
  <c r="Y36" i="9"/>
  <c r="Z37" i="9" s="1"/>
  <c r="Q18" i="2" s="1"/>
  <c r="DR111" i="9"/>
  <c r="N24" i="9"/>
  <c r="M24" i="9"/>
  <c r="K24" i="9"/>
  <c r="AB36" i="9"/>
  <c r="R112" i="9" l="1"/>
  <c r="C119" i="9" s="1"/>
  <c r="AM76" i="9"/>
  <c r="C114" i="9" s="1"/>
  <c r="I24" i="2"/>
  <c r="BH76" i="9"/>
  <c r="C115" i="9" s="1"/>
  <c r="Q8" i="9"/>
  <c r="P8" i="9"/>
  <c r="V8" i="9" s="1"/>
  <c r="B7" i="11" s="1"/>
  <c r="R8" i="9"/>
  <c r="O8" i="9"/>
  <c r="S8" i="9" s="1"/>
  <c r="P5" i="9"/>
  <c r="V5" i="9" s="1"/>
  <c r="B4" i="11" s="1"/>
  <c r="R5" i="9"/>
  <c r="O5" i="9"/>
  <c r="S5" i="9" s="1"/>
  <c r="Q5" i="9"/>
  <c r="P31" i="9"/>
  <c r="V31" i="9" s="1"/>
  <c r="B30" i="11" s="1"/>
  <c r="R31" i="9"/>
  <c r="O31" i="9"/>
  <c r="S31" i="9" s="1"/>
  <c r="Q31" i="9"/>
  <c r="O13" i="9"/>
  <c r="S13" i="9" s="1"/>
  <c r="R13" i="9"/>
  <c r="Q13" i="9"/>
  <c r="P13" i="9"/>
  <c r="V13" i="9" s="1"/>
  <c r="B12" i="11" s="1"/>
  <c r="O3" i="9"/>
  <c r="S3" i="9" s="1"/>
  <c r="P3" i="9"/>
  <c r="V3" i="9" s="1"/>
  <c r="R3" i="9"/>
  <c r="Q3" i="9"/>
  <c r="P32" i="9"/>
  <c r="V32" i="9" s="1"/>
  <c r="B31" i="11" s="1"/>
  <c r="R32" i="9"/>
  <c r="O32" i="9"/>
  <c r="S32" i="9" s="1"/>
  <c r="Q32" i="9"/>
  <c r="CC112" i="9"/>
  <c r="C122" i="9" s="1"/>
  <c r="R12" i="9"/>
  <c r="O12" i="9"/>
  <c r="S12" i="9" s="1"/>
  <c r="Q12" i="9"/>
  <c r="P12" i="9"/>
  <c r="V12" i="9" s="1"/>
  <c r="B11" i="11" s="1"/>
  <c r="P17" i="9"/>
  <c r="V17" i="9" s="1"/>
  <c r="Q17" i="9"/>
  <c r="R17" i="9"/>
  <c r="O17" i="9"/>
  <c r="S17" i="9" s="1"/>
  <c r="Q27" i="9"/>
  <c r="R27" i="9"/>
  <c r="O27" i="9"/>
  <c r="S27" i="9" s="1"/>
  <c r="P27" i="9"/>
  <c r="V27" i="9" s="1"/>
  <c r="B26" i="11" s="1"/>
  <c r="O7" i="9"/>
  <c r="S7" i="9" s="1"/>
  <c r="R7" i="9"/>
  <c r="Q7" i="9"/>
  <c r="P7" i="9"/>
  <c r="V7" i="9" s="1"/>
  <c r="B6" i="11" s="1"/>
  <c r="P25" i="9"/>
  <c r="V25" i="9" s="1"/>
  <c r="B24" i="11" s="1"/>
  <c r="O25" i="9"/>
  <c r="S25" i="9" s="1"/>
  <c r="R25" i="9"/>
  <c r="Q25" i="9"/>
  <c r="Q4" i="9"/>
  <c r="P4" i="9"/>
  <c r="V4" i="9" s="1"/>
  <c r="O4" i="9"/>
  <c r="S4" i="9" s="1"/>
  <c r="R4" i="9"/>
  <c r="P19" i="9"/>
  <c r="V19" i="9" s="1"/>
  <c r="O19" i="9"/>
  <c r="S19" i="9" s="1"/>
  <c r="R19" i="9"/>
  <c r="Q19" i="9"/>
  <c r="I34" i="2"/>
  <c r="Q10" i="9"/>
  <c r="P10" i="9"/>
  <c r="V10" i="9" s="1"/>
  <c r="B9" i="11" s="1"/>
  <c r="O10" i="9"/>
  <c r="S10" i="9" s="1"/>
  <c r="R10" i="9"/>
  <c r="Q23" i="9"/>
  <c r="P23" i="9"/>
  <c r="V23" i="9" s="1"/>
  <c r="B22" i="11" s="1"/>
  <c r="O23" i="9"/>
  <c r="S23" i="9" s="1"/>
  <c r="R23" i="9"/>
  <c r="P6" i="9"/>
  <c r="V6" i="9" s="1"/>
  <c r="B5" i="11" s="1"/>
  <c r="O6" i="9"/>
  <c r="S6" i="9" s="1"/>
  <c r="R6" i="9"/>
  <c r="Q6" i="9"/>
  <c r="Q20" i="9"/>
  <c r="P20" i="9"/>
  <c r="V20" i="9" s="1"/>
  <c r="O20" i="9"/>
  <c r="S20" i="9" s="1"/>
  <c r="R20" i="9"/>
  <c r="E24" i="2"/>
  <c r="G24" i="2"/>
  <c r="R18" i="9"/>
  <c r="Q18" i="9"/>
  <c r="O18" i="9"/>
  <c r="S18" i="9" s="1"/>
  <c r="P18" i="9"/>
  <c r="V18" i="9" s="1"/>
  <c r="P30" i="9"/>
  <c r="V30" i="9" s="1"/>
  <c r="B29" i="11" s="1"/>
  <c r="O30" i="9"/>
  <c r="S30" i="9" s="1"/>
  <c r="Q30" i="9"/>
  <c r="R30" i="9"/>
  <c r="AC37" i="9"/>
  <c r="Q19" i="2" s="1"/>
  <c r="P11" i="9"/>
  <c r="V11" i="9" s="1"/>
  <c r="B10" i="11" s="1"/>
  <c r="Q11" i="9"/>
  <c r="R11" i="9"/>
  <c r="O11" i="9"/>
  <c r="S11" i="9" s="1"/>
  <c r="Q28" i="9"/>
  <c r="P28" i="9"/>
  <c r="V28" i="9" s="1"/>
  <c r="B27" i="11" s="1"/>
  <c r="O28" i="9"/>
  <c r="S28" i="9" s="1"/>
  <c r="R28" i="9"/>
  <c r="P24" i="9"/>
  <c r="V24" i="9" s="1"/>
  <c r="B23" i="11" s="1"/>
  <c r="O24" i="9"/>
  <c r="S24" i="9" s="1"/>
  <c r="Q24" i="9"/>
  <c r="R24" i="9"/>
  <c r="Q16" i="9"/>
  <c r="R16" i="9"/>
  <c r="O16" i="9"/>
  <c r="S16" i="9" s="1"/>
  <c r="P16" i="9"/>
  <c r="V16" i="9" s="1"/>
  <c r="P14" i="9"/>
  <c r="V14" i="9" s="1"/>
  <c r="B13" i="11" s="1"/>
  <c r="O14" i="9"/>
  <c r="S14" i="9" s="1"/>
  <c r="Q14" i="9"/>
  <c r="R14" i="9"/>
  <c r="R9" i="9"/>
  <c r="P9" i="9"/>
  <c r="V9" i="9" s="1"/>
  <c r="B8" i="11" s="1"/>
  <c r="Q9" i="9"/>
  <c r="O9" i="9"/>
  <c r="S9" i="9" s="1"/>
  <c r="G34" i="2"/>
  <c r="G35" i="2" s="1"/>
  <c r="K34" i="2"/>
  <c r="O21" i="9"/>
  <c r="S21" i="9" s="1"/>
  <c r="R21" i="9"/>
  <c r="Q21" i="9"/>
  <c r="P21" i="9"/>
  <c r="V21" i="9" s="1"/>
  <c r="R26" i="9"/>
  <c r="Q26" i="9"/>
  <c r="P26" i="9"/>
  <c r="V26" i="9" s="1"/>
  <c r="B25" i="11" s="1"/>
  <c r="O26" i="9"/>
  <c r="S26" i="9" s="1"/>
  <c r="DS112" i="9"/>
  <c r="C124" i="9" s="1"/>
  <c r="P22" i="9"/>
  <c r="V22" i="9" s="1"/>
  <c r="B21" i="11" s="1"/>
  <c r="O22" i="9"/>
  <c r="S22" i="9" s="1"/>
  <c r="Q22" i="9"/>
  <c r="R22" i="9"/>
  <c r="P15" i="9"/>
  <c r="V15" i="9" s="1"/>
  <c r="Q15" i="9"/>
  <c r="O15" i="9"/>
  <c r="S15" i="9" s="1"/>
  <c r="R15" i="9"/>
  <c r="R33" i="9"/>
  <c r="O33" i="9"/>
  <c r="S33" i="9" s="1"/>
  <c r="Q33" i="9"/>
  <c r="P33" i="9"/>
  <c r="V33" i="9" s="1"/>
  <c r="B32" i="11" s="1"/>
  <c r="Q29" i="9"/>
  <c r="R29" i="9"/>
  <c r="O29" i="9"/>
  <c r="S29" i="9" s="1"/>
  <c r="P29" i="9"/>
  <c r="V29" i="9" s="1"/>
  <c r="B28" i="11" s="1"/>
  <c r="BH112" i="9"/>
  <c r="C121" i="9" s="1"/>
  <c r="C125" i="9" l="1"/>
  <c r="Q24" i="2" s="1"/>
  <c r="C126" i="9"/>
  <c r="K35" i="2"/>
  <c r="I35" i="2"/>
  <c r="S36" i="9"/>
  <c r="T37" i="9" s="1"/>
  <c r="Q16" i="2" s="1"/>
  <c r="V36" i="9"/>
  <c r="W37" i="9" s="1"/>
  <c r="Q17" i="2" s="1"/>
  <c r="B3" i="11"/>
  <c r="V38" i="9"/>
  <c r="W38" i="9" s="1"/>
  <c r="B2" i="11"/>
  <c r="A33" i="11" s="1"/>
  <c r="S38" i="9"/>
  <c r="T38" i="9" s="1"/>
  <c r="E35" i="2"/>
  <c r="B35" i="11" l="1"/>
  <c r="A3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tjenkins</author>
    <author>T Jenkins</author>
    <author>BOLIVAR-MENDOZA, GABRIEL - [ETSE]</author>
  </authors>
  <commentList>
    <comment ref="P4" authorId="0" shapeId="0" xr:uid="{00000000-0006-0000-0100-000001000000}">
      <text>
        <r>
          <rPr>
            <b/>
            <sz val="8"/>
            <color indexed="81"/>
            <rFont val="Tahoma"/>
            <family val="2"/>
          </rPr>
          <t>tjenkins:</t>
        </r>
        <r>
          <rPr>
            <sz val="8"/>
            <color indexed="81"/>
            <rFont val="Tahoma"/>
            <family val="2"/>
          </rPr>
          <t xml:space="preserve">
Enter the latitude of the location of the collector.</t>
        </r>
      </text>
    </comment>
    <comment ref="P5" authorId="1" shapeId="0" xr:uid="{00000000-0006-0000-0100-000002000000}">
      <text>
        <r>
          <rPr>
            <b/>
            <sz val="9"/>
            <color indexed="81"/>
            <rFont val="Tahoma"/>
            <family val="2"/>
          </rPr>
          <t>T Jenkins:</t>
        </r>
        <r>
          <rPr>
            <sz val="9"/>
            <color indexed="81"/>
            <rFont val="Tahoma"/>
            <family val="2"/>
          </rPr>
          <t xml:space="preserve">
Location's Longitude Angle.</t>
        </r>
      </text>
    </comment>
    <comment ref="P9" authorId="1" shapeId="0" xr:uid="{00000000-0006-0000-0100-000003000000}">
      <text>
        <r>
          <rPr>
            <b/>
            <sz val="9"/>
            <color indexed="81"/>
            <rFont val="Tahoma"/>
            <family val="2"/>
          </rPr>
          <t>T Jenkins:
Julian Day</t>
        </r>
        <r>
          <rPr>
            <sz val="9"/>
            <color indexed="81"/>
            <rFont val="Tahoma"/>
            <family val="2"/>
          </rPr>
          <t xml:space="preserve">
Must be between 1-365.</t>
        </r>
      </text>
    </comment>
    <comment ref="E13" authorId="1" shapeId="0" xr:uid="{00000000-0006-0000-0100-000004000000}">
      <text>
        <r>
          <rPr>
            <b/>
            <sz val="9"/>
            <color indexed="81"/>
            <rFont val="Tahoma"/>
            <family val="2"/>
          </rPr>
          <t>T Jenkins:</t>
        </r>
        <r>
          <rPr>
            <sz val="9"/>
            <color indexed="81"/>
            <rFont val="Tahoma"/>
            <family val="2"/>
          </rPr>
          <t xml:space="preserve">
Enter hours in military time. For example 1 P.M. is 13 hours (12+1) while 11 P.M. would be 23 (12+11). Midnight to 1 A.M.  is 0 hours.</t>
        </r>
      </text>
    </comment>
    <comment ref="F13" authorId="1" shapeId="0" xr:uid="{00000000-0006-0000-0100-000005000000}">
      <text>
        <r>
          <rPr>
            <b/>
            <sz val="9"/>
            <color indexed="81"/>
            <rFont val="Tahoma"/>
            <family val="2"/>
          </rPr>
          <t>T Jenkins:</t>
        </r>
        <r>
          <rPr>
            <sz val="9"/>
            <color indexed="81"/>
            <rFont val="Tahoma"/>
            <family val="2"/>
          </rPr>
          <t xml:space="preserve">
Enter a value from 0-59 for the minutes after the hour.</t>
        </r>
      </text>
    </comment>
    <comment ref="H13" authorId="0" shapeId="0" xr:uid="{00000000-0006-0000-0100-000006000000}">
      <text>
        <r>
          <rPr>
            <b/>
            <sz val="8"/>
            <color indexed="81"/>
            <rFont val="Tahoma"/>
            <family val="2"/>
          </rPr>
          <t>tjenkins:</t>
        </r>
        <r>
          <rPr>
            <sz val="8"/>
            <color indexed="81"/>
            <rFont val="Tahoma"/>
            <family val="2"/>
          </rPr>
          <t xml:space="preserve">
Hours and fraction of hours - example: 8:30 is 8.5.
</t>
        </r>
      </text>
    </comment>
    <comment ref="E14" authorId="2" shapeId="0" xr:uid="{00000000-0006-0000-0100-000007000000}">
      <text>
        <r>
          <rPr>
            <b/>
            <sz val="9"/>
            <color indexed="81"/>
            <rFont val="Tahoma"/>
            <family val="2"/>
          </rPr>
          <t>Daylight Savings Time starts the second Sunday of March and ends the first Sunday of November.</t>
        </r>
      </text>
    </comment>
    <comment ref="D17" authorId="2" shapeId="0" xr:uid="{00000000-0006-0000-0100-000008000000}">
      <text>
        <r>
          <rPr>
            <b/>
            <sz val="9"/>
            <color indexed="81"/>
            <rFont val="Tahoma"/>
            <family val="2"/>
          </rPr>
          <t xml:space="preserve">tjenkins:
</t>
        </r>
        <r>
          <rPr>
            <sz val="9"/>
            <color indexed="81"/>
            <rFont val="Tahoma"/>
            <family val="2"/>
          </rPr>
          <t>See solar time calculation document.</t>
        </r>
      </text>
    </comment>
    <comment ref="E20" authorId="2" shapeId="0" xr:uid="{00000000-0006-0000-0100-000009000000}">
      <text>
        <r>
          <rPr>
            <b/>
            <sz val="9"/>
            <color indexed="81"/>
            <rFont val="Tahoma"/>
            <family val="2"/>
          </rPr>
          <t>This Longitude value is determined with the Time Zone value entered before.</t>
        </r>
      </text>
    </comment>
    <comment ref="E21" authorId="0" shapeId="0" xr:uid="{00000000-0006-0000-0100-00000A000000}">
      <text>
        <r>
          <rPr>
            <sz val="8"/>
            <color indexed="81"/>
            <rFont val="Tahoma"/>
            <family val="2"/>
          </rPr>
          <t>The hours are (+) before solar noon and (-) after solar noon. The value is hr and fraction of an hour.</t>
        </r>
      </text>
    </comment>
    <comment ref="C25" authorId="2" shapeId="0" xr:uid="{00000000-0006-0000-0100-00000B000000}">
      <text>
        <r>
          <rPr>
            <b/>
            <sz val="9"/>
            <color indexed="81"/>
            <rFont val="Tahoma"/>
            <family val="2"/>
          </rPr>
          <t>This is the solar time at the specified LOCAL time.</t>
        </r>
      </text>
    </comment>
    <comment ref="C35" authorId="2" shapeId="0" xr:uid="{00000000-0006-0000-0100-00000C000000}">
      <text>
        <r>
          <rPr>
            <b/>
            <sz val="9"/>
            <color indexed="81"/>
            <rFont val="Tahoma"/>
            <family val="2"/>
          </rPr>
          <t>Enter the hour in military time (0-23) for the solar time.</t>
        </r>
      </text>
    </comment>
    <comment ref="D35" authorId="2" shapeId="0" xr:uid="{00000000-0006-0000-0100-00000D000000}">
      <text>
        <r>
          <rPr>
            <b/>
            <sz val="9"/>
            <color indexed="81"/>
            <rFont val="Tahoma"/>
            <family val="2"/>
          </rPr>
          <t>Enter the minutes (0-59) for the solar time.</t>
        </r>
      </text>
    </comment>
    <comment ref="C36" authorId="2" shapeId="0" xr:uid="{00000000-0006-0000-0100-00000E000000}">
      <text>
        <r>
          <rPr>
            <b/>
            <sz val="9"/>
            <color indexed="81"/>
            <rFont val="Tahoma"/>
            <family val="2"/>
          </rPr>
          <t>This is the Local Time at the solar time specified in the location previously entered.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tjenkins</author>
    <author>BOLIVAR-MENDOZA, GABRIEL - [ETSE]</author>
  </authors>
  <commentList>
    <comment ref="L5" authorId="0" shapeId="0" xr:uid="{00000000-0006-0000-0200-000001000000}">
      <text>
        <r>
          <rPr>
            <b/>
            <sz val="8"/>
            <color indexed="81"/>
            <rFont val="Tahoma"/>
            <family val="2"/>
          </rPr>
          <t>tjenkins:</t>
        </r>
        <r>
          <rPr>
            <sz val="8"/>
            <color indexed="81"/>
            <rFont val="Tahoma"/>
            <family val="2"/>
          </rPr>
          <t xml:space="preserve">
Julian day number from previous sheet.</t>
        </r>
      </text>
    </comment>
    <comment ref="L7" authorId="1" shapeId="0" xr:uid="{00000000-0006-0000-0200-000002000000}">
      <text>
        <r>
          <rPr>
            <sz val="9"/>
            <color indexed="81"/>
            <rFont val="Tahoma"/>
            <family val="2"/>
          </rPr>
          <t>Solar Time value in decimal from the previous sheet.</t>
        </r>
      </text>
    </comment>
    <comment ref="A10" authorId="1" shapeId="0" xr:uid="{00000000-0006-0000-0200-000003000000}">
      <text>
        <r>
          <rPr>
            <b/>
            <sz val="9"/>
            <color indexed="81"/>
            <rFont val="Tahoma"/>
            <family val="2"/>
          </rPr>
          <t>Formula: 23.45 *SIN((360/365)*(n-81))
Where: n is the Julian Day number</t>
        </r>
      </text>
    </comment>
    <comment ref="F10" authorId="1" shapeId="0" xr:uid="{00000000-0006-0000-0200-000004000000}">
      <text>
        <r>
          <rPr>
            <b/>
            <sz val="9"/>
            <color indexed="81"/>
            <rFont val="Tahoma"/>
            <family val="2"/>
          </rPr>
          <t xml:space="preserve">tjenkins:
</t>
        </r>
        <r>
          <rPr>
            <sz val="9"/>
            <color indexed="81"/>
            <rFont val="Tahoma"/>
            <family val="2"/>
          </rPr>
          <t>The angle formed between the equator and a line drawn from the center of the sun to the center of the earth.</t>
        </r>
      </text>
    </comment>
    <comment ref="A11" authorId="1" shapeId="0" xr:uid="{00000000-0006-0000-0200-000005000000}">
      <text>
        <r>
          <rPr>
            <b/>
            <sz val="9"/>
            <color indexed="81"/>
            <rFont val="Tahoma"/>
            <family val="2"/>
          </rPr>
          <t>Formula: 90 - L + δ
Where: L is Latitude angle in degrees</t>
        </r>
      </text>
    </comment>
    <comment ref="F11" authorId="1" shapeId="0" xr:uid="{00000000-0006-0000-0200-000006000000}">
      <text>
        <r>
          <rPr>
            <b/>
            <sz val="9"/>
            <color indexed="81"/>
            <rFont val="Tahoma"/>
            <family val="2"/>
          </rPr>
          <t xml:space="preserve">tjenkins:
</t>
        </r>
        <r>
          <rPr>
            <sz val="9"/>
            <color indexed="81"/>
            <rFont val="Tahoma"/>
            <family val="2"/>
          </rPr>
          <t>Solar altitude angle 
(at noon).</t>
        </r>
      </text>
    </comment>
    <comment ref="A12" authorId="1" shapeId="0" xr:uid="{00000000-0006-0000-0200-000007000000}">
      <text>
        <r>
          <rPr>
            <b/>
            <sz val="9"/>
            <color indexed="81"/>
            <rFont val="Tahoma"/>
            <family val="2"/>
          </rPr>
          <t xml:space="preserve">Formula: 90 - β </t>
        </r>
      </text>
    </comment>
    <comment ref="F12" authorId="1" shapeId="0" xr:uid="{00000000-0006-0000-0200-000008000000}">
      <text>
        <r>
          <rPr>
            <b/>
            <sz val="9"/>
            <color indexed="81"/>
            <rFont val="Tahoma"/>
            <family val="2"/>
          </rPr>
          <t xml:space="preserve">tjenkins:
</t>
        </r>
        <r>
          <rPr>
            <sz val="9"/>
            <color indexed="81"/>
            <rFont val="Tahoma"/>
            <family val="2"/>
          </rPr>
          <t>The calculated optimum tilt angle for the solar collector at solar noon.</t>
        </r>
      </text>
    </comment>
    <comment ref="A13" authorId="1" shapeId="0" xr:uid="{00000000-0006-0000-0200-000009000000}">
      <text>
        <r>
          <rPr>
            <b/>
            <sz val="9"/>
            <color indexed="81"/>
            <rFont val="Tahoma"/>
            <family val="2"/>
          </rPr>
          <t xml:space="preserve">Formula: 1/(sin β) </t>
        </r>
      </text>
    </comment>
    <comment ref="F13" authorId="1" shapeId="0" xr:uid="{00000000-0006-0000-0200-00000A000000}">
      <text>
        <r>
          <rPr>
            <b/>
            <sz val="9"/>
            <color indexed="81"/>
            <rFont val="Tahoma"/>
            <family val="2"/>
          </rPr>
          <t xml:space="preserve">tjenkins:
</t>
        </r>
        <r>
          <rPr>
            <sz val="9"/>
            <color indexed="81"/>
            <rFont val="Tahoma"/>
            <family val="2"/>
          </rPr>
          <t>Calculated measure of the amount of atmosphere the sun's rays must pass.</t>
        </r>
      </text>
    </comment>
    <comment ref="F16" authorId="0" shapeId="0" xr:uid="{00000000-0006-0000-0200-00000B000000}">
      <text>
        <r>
          <rPr>
            <b/>
            <sz val="8"/>
            <color indexed="81"/>
            <rFont val="Tahoma"/>
            <family val="2"/>
          </rPr>
          <t>tjenkins:</t>
        </r>
        <r>
          <rPr>
            <sz val="8"/>
            <color indexed="81"/>
            <rFont val="Tahoma"/>
            <family val="2"/>
          </rPr>
          <t xml:space="preserve">
The hours (2.5 for example) before or after solar noon of the time you are interested.
See the time calculation sheet for a way to determine this value.</t>
        </r>
      </text>
    </comment>
    <comment ref="A17" authorId="1" shapeId="0" xr:uid="{00000000-0006-0000-0200-00000C000000}">
      <text>
        <r>
          <rPr>
            <b/>
            <sz val="9"/>
            <color indexed="81"/>
            <rFont val="Tahoma"/>
            <family val="2"/>
          </rPr>
          <t>Formula:  15</t>
        </r>
        <r>
          <rPr>
            <b/>
            <sz val="9"/>
            <color indexed="81"/>
            <rFont val="Calibri"/>
            <family val="2"/>
          </rPr>
          <t>°</t>
        </r>
        <r>
          <rPr>
            <b/>
            <sz val="9"/>
            <color indexed="81"/>
            <rFont val="Tahoma"/>
            <family val="2"/>
          </rPr>
          <t>/h * (hr -/+ solar noon)</t>
        </r>
      </text>
    </comment>
    <comment ref="F17" authorId="1" shapeId="0" xr:uid="{00000000-0006-0000-0200-00000D000000}">
      <text>
        <r>
          <rPr>
            <sz val="9"/>
            <color indexed="81"/>
            <rFont val="Tahoma"/>
            <family val="2"/>
          </rPr>
          <t>Number of degrees the earth must rotate or has rotated so the sun is directly above your meridian (longitude specified).</t>
        </r>
      </text>
    </comment>
    <comment ref="F18" authorId="1" shapeId="0" xr:uid="{00000000-0006-0000-0200-00000E000000}">
      <text>
        <r>
          <rPr>
            <sz val="9"/>
            <color indexed="81"/>
            <rFont val="Tahoma"/>
            <family val="2"/>
          </rPr>
          <t>Solar altitude angle.</t>
        </r>
      </text>
    </comment>
    <comment ref="A19" authorId="1" shapeId="0" xr:uid="{00000000-0006-0000-0200-00000F000000}">
      <text>
        <r>
          <rPr>
            <sz val="9"/>
            <color indexed="81"/>
            <rFont val="Tahoma"/>
            <family val="2"/>
          </rPr>
          <t>Position of the sun (East or West) from the longitude specified.</t>
        </r>
      </text>
    </comment>
    <comment ref="F19" authorId="0" shapeId="0" xr:uid="{00000000-0006-0000-0200-000010000000}">
      <text>
        <r>
          <rPr>
            <b/>
            <sz val="8"/>
            <color indexed="81"/>
            <rFont val="Tahoma"/>
            <family val="2"/>
          </rPr>
          <t>tjenkins:</t>
        </r>
        <r>
          <rPr>
            <sz val="8"/>
            <color indexed="81"/>
            <rFont val="Tahoma"/>
            <family val="2"/>
          </rPr>
          <t xml:space="preserve">
This is the azimuth angle of the sun at this time of day from true south. Degrees East are positive (+) and degrees West are negative (-).</t>
        </r>
      </text>
    </comment>
    <comment ref="F20" authorId="1" shapeId="0" xr:uid="{00000000-0006-0000-0200-000011000000}">
      <text>
        <r>
          <rPr>
            <sz val="9"/>
            <color indexed="81"/>
            <rFont val="Tahoma"/>
            <family val="2"/>
          </rPr>
          <t>Degrees from the horizontal.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BOLIVAR-MENDOZA, GABRIEL - [ETSE]</author>
    <author>tjenkins</author>
  </authors>
  <commentList>
    <comment ref="O3" authorId="0" shapeId="0" xr:uid="{00000000-0006-0000-0300-000001000000}">
      <text>
        <r>
          <rPr>
            <b/>
            <sz val="9"/>
            <color indexed="81"/>
            <rFont val="Tahoma"/>
            <family val="2"/>
          </rPr>
          <t xml:space="preserve">Typical coefficients for ground reflectance. </t>
        </r>
      </text>
    </comment>
    <comment ref="L6" authorId="1" shapeId="0" xr:uid="{00000000-0006-0000-0300-000002000000}">
      <text>
        <r>
          <rPr>
            <b/>
            <sz val="8"/>
            <color indexed="81"/>
            <rFont val="Tahoma"/>
            <family val="2"/>
          </rPr>
          <t>tjenkins:</t>
        </r>
        <r>
          <rPr>
            <sz val="8"/>
            <color indexed="81"/>
            <rFont val="Tahoma"/>
            <family val="2"/>
          </rPr>
          <t xml:space="preserve">
Enter the rotation or azimuth angle of the collector (from true south). Angle to the Southwest are negative (-) and to the Southeast are positive (+).</t>
        </r>
      </text>
    </comment>
    <comment ref="L7" authorId="1" shapeId="0" xr:uid="{00000000-0006-0000-0300-000003000000}">
      <text>
        <r>
          <rPr>
            <b/>
            <sz val="8"/>
            <color indexed="81"/>
            <rFont val="Tahoma"/>
            <family val="2"/>
          </rPr>
          <t>tjenkins:</t>
        </r>
        <r>
          <rPr>
            <sz val="8"/>
            <color indexed="81"/>
            <rFont val="Tahoma"/>
            <family val="2"/>
          </rPr>
          <t xml:space="preserve">
Enter the tilt angle of the collector.</t>
        </r>
      </text>
    </comment>
    <comment ref="L8" authorId="1" shapeId="0" xr:uid="{00000000-0006-0000-0300-000004000000}">
      <text>
        <r>
          <rPr>
            <b/>
            <sz val="8"/>
            <color indexed="81"/>
            <rFont val="Tahoma"/>
            <family val="2"/>
          </rPr>
          <t>tjenkins:</t>
        </r>
        <r>
          <rPr>
            <sz val="8"/>
            <color indexed="81"/>
            <rFont val="Tahoma"/>
            <family val="2"/>
          </rPr>
          <t xml:space="preserve">
Enter the reflective coefficient of the surface surrounding the collector - this is a table lookup value.</t>
        </r>
      </text>
    </comment>
    <comment ref="A10" authorId="0" shapeId="0" xr:uid="{00000000-0006-0000-0300-000005000000}">
      <text>
        <r>
          <rPr>
            <b/>
            <sz val="9"/>
            <color indexed="81"/>
            <rFont val="Tahoma"/>
            <family val="2"/>
          </rPr>
          <t xml:space="preserve">tjenkins:
</t>
        </r>
        <r>
          <rPr>
            <sz val="9"/>
            <color indexed="81"/>
            <rFont val="Tahoma"/>
            <family val="2"/>
          </rPr>
          <t>Solar flux-radiation that hits the top of the atmosphere.</t>
        </r>
      </text>
    </comment>
    <comment ref="A12" authorId="1" shapeId="0" xr:uid="{00000000-0006-0000-0300-000006000000}">
      <text>
        <r>
          <rPr>
            <b/>
            <sz val="8"/>
            <color indexed="81"/>
            <rFont val="Tahoma"/>
            <family val="2"/>
          </rPr>
          <t>tjenkins:</t>
        </r>
        <r>
          <rPr>
            <sz val="8"/>
            <color indexed="81"/>
            <rFont val="Tahoma"/>
            <family val="2"/>
          </rPr>
          <t xml:space="preserve">
Avg calc. of standard dust, water vapor, etc. that might be in normal atmosphere conditions</t>
        </r>
      </text>
    </comment>
    <comment ref="A13" authorId="0" shapeId="0" xr:uid="{00000000-0006-0000-0300-000007000000}">
      <text>
        <r>
          <rPr>
            <b/>
            <sz val="9"/>
            <color indexed="81"/>
            <rFont val="Tahoma"/>
            <family val="2"/>
          </rPr>
          <t>Formula:  = 0.095+0.04sin(360/365)(n-100)</t>
        </r>
      </text>
    </comment>
    <comment ref="A16" authorId="0" shapeId="0" xr:uid="{00000000-0006-0000-0300-000008000000}">
      <text>
        <r>
          <rPr>
            <b/>
            <sz val="9"/>
            <color indexed="81"/>
            <rFont val="Tahoma"/>
            <family val="2"/>
          </rPr>
          <t xml:space="preserve">tjenkins:
</t>
        </r>
        <r>
          <rPr>
            <sz val="9"/>
            <color indexed="81"/>
            <rFont val="Tahoma"/>
            <family val="2"/>
          </rPr>
          <t>Amount of insolation 
that would hit one meter square of area assuming that the surface is facing directly to the sun.</t>
        </r>
      </text>
    </comment>
    <comment ref="E18" authorId="0" shapeId="0" xr:uid="{00000000-0006-0000-0300-000009000000}">
      <text>
        <r>
          <rPr>
            <b/>
            <sz val="9"/>
            <color indexed="81"/>
            <rFont val="Tahoma"/>
            <family val="2"/>
          </rPr>
          <t>These values are not affected for the collector angle entries.</t>
        </r>
      </text>
    </comment>
    <comment ref="G18" authorId="0" shapeId="0" xr:uid="{00000000-0006-0000-0300-00000A000000}">
      <text>
        <r>
          <rPr>
            <b/>
            <sz val="9"/>
            <color indexed="81"/>
            <rFont val="Tahoma"/>
            <family val="2"/>
          </rPr>
          <t>These values are affected for the collector azimuth and tilt angles as well as for the reflectance value.</t>
        </r>
      </text>
    </comment>
    <comment ref="J18" authorId="0" shapeId="0" xr:uid="{00000000-0006-0000-0300-00000B000000}">
      <text>
        <r>
          <rPr>
            <b/>
            <sz val="9"/>
            <color indexed="81"/>
            <rFont val="Tahoma"/>
            <family val="2"/>
          </rPr>
          <t>These values are only affected for the reflectance value.</t>
        </r>
      </text>
    </comment>
    <comment ref="L18" authorId="0" shapeId="0" xr:uid="{00000000-0006-0000-0300-00000C000000}">
      <text>
        <r>
          <rPr>
            <b/>
            <sz val="9"/>
            <color indexed="81"/>
            <rFont val="Tahoma"/>
            <family val="2"/>
          </rPr>
          <t>These values are not affected for the collector angle entries, but only for the reflectance value.</t>
        </r>
      </text>
    </comment>
    <comment ref="A19" authorId="0" shapeId="0" xr:uid="{00000000-0006-0000-0300-00000D000000}">
      <text>
        <r>
          <rPr>
            <b/>
            <sz val="9"/>
            <color indexed="81"/>
            <rFont val="Tahoma"/>
            <family val="2"/>
          </rPr>
          <t>Formula: cosβcos(Φs-Φc)sin∑+sinβ cos∑</t>
        </r>
      </text>
    </comment>
    <comment ref="A20" authorId="1" shapeId="0" xr:uid="{00000000-0006-0000-0300-00000E000000}">
      <text>
        <r>
          <rPr>
            <b/>
            <sz val="8"/>
            <color indexed="81"/>
            <rFont val="Tahoma"/>
            <family val="2"/>
          </rPr>
          <t>tjenkins:</t>
        </r>
        <r>
          <rPr>
            <sz val="8"/>
            <color indexed="81"/>
            <rFont val="Tahoma"/>
            <family val="2"/>
          </rPr>
          <t xml:space="preserve">
Amount of direct insolation that would hit one meter square area of the collector.</t>
        </r>
      </text>
    </comment>
    <comment ref="A21" authorId="1" shapeId="0" xr:uid="{00000000-0006-0000-0300-00000F000000}">
      <text>
        <r>
          <rPr>
            <b/>
            <sz val="8"/>
            <color indexed="81"/>
            <rFont val="Tahoma"/>
            <family val="2"/>
          </rPr>
          <t>tjenkins:</t>
        </r>
        <r>
          <rPr>
            <sz val="8"/>
            <color indexed="81"/>
            <rFont val="Tahoma"/>
            <family val="2"/>
          </rPr>
          <t xml:space="preserve">
Solar radiation hitting a collector face from diffuse sources only.</t>
        </r>
      </text>
    </comment>
    <comment ref="A22" authorId="1" shapeId="0" xr:uid="{00000000-0006-0000-0300-000010000000}">
      <text>
        <r>
          <rPr>
            <b/>
            <sz val="8"/>
            <color indexed="81"/>
            <rFont val="Tahoma"/>
            <family val="2"/>
          </rPr>
          <t>tjenkins:</t>
        </r>
        <r>
          <rPr>
            <sz val="8"/>
            <color indexed="81"/>
            <rFont val="Tahoma"/>
            <family val="2"/>
          </rPr>
          <t xml:space="preserve">
Reflected insolation upon the collector face.</t>
        </r>
      </text>
    </comment>
    <comment ref="A23" authorId="1" shapeId="0" xr:uid="{00000000-0006-0000-0300-000011000000}">
      <text>
        <r>
          <rPr>
            <b/>
            <sz val="8"/>
            <color indexed="81"/>
            <rFont val="Tahoma"/>
            <family val="2"/>
          </rPr>
          <t>tjenkins:</t>
        </r>
        <r>
          <rPr>
            <sz val="8"/>
            <color indexed="81"/>
            <rFont val="Tahoma"/>
            <family val="2"/>
          </rPr>
          <t xml:space="preserve">
Total solar insolation on a collector face from all three sources.</t>
        </r>
      </text>
    </comment>
    <comment ref="A27" authorId="0" shapeId="0" xr:uid="{00000000-0006-0000-0300-000012000000}">
      <text>
        <r>
          <rPr>
            <b/>
            <sz val="9"/>
            <color indexed="81"/>
            <rFont val="Tahoma"/>
            <family val="2"/>
          </rPr>
          <t xml:space="preserve">tjenkins:
</t>
        </r>
        <r>
          <rPr>
            <sz val="9"/>
            <color indexed="81"/>
            <rFont val="Tahoma"/>
            <family val="2"/>
          </rPr>
          <t>Amount of insolation 
that would hit one meter square of area assuming that the surface is facing directly to the sun.</t>
        </r>
      </text>
    </comment>
    <comment ref="E29" authorId="0" shapeId="0" xr:uid="{00000000-0006-0000-0300-000013000000}">
      <text>
        <r>
          <rPr>
            <b/>
            <sz val="9"/>
            <color indexed="81"/>
            <rFont val="Tahoma"/>
            <family val="2"/>
          </rPr>
          <t>These values are not affected for the collector angle entries.</t>
        </r>
      </text>
    </comment>
    <comment ref="G29" authorId="0" shapeId="0" xr:uid="{00000000-0006-0000-0300-000014000000}">
      <text>
        <r>
          <rPr>
            <b/>
            <sz val="9"/>
            <color indexed="81"/>
            <rFont val="Tahoma"/>
            <family val="2"/>
          </rPr>
          <t>These values are affected for the collector azimuth and tilt angles as well as for the reflectance value.</t>
        </r>
      </text>
    </comment>
    <comment ref="J29" authorId="0" shapeId="0" xr:uid="{00000000-0006-0000-0300-000015000000}">
      <text>
        <r>
          <rPr>
            <b/>
            <sz val="9"/>
            <color indexed="81"/>
            <rFont val="Tahoma"/>
            <family val="2"/>
          </rPr>
          <t>These values are only affected for the reflectance value.</t>
        </r>
      </text>
    </comment>
    <comment ref="L29" authorId="0" shapeId="0" xr:uid="{00000000-0006-0000-0300-000016000000}">
      <text>
        <r>
          <rPr>
            <b/>
            <sz val="9"/>
            <color indexed="81"/>
            <rFont val="Tahoma"/>
            <family val="2"/>
          </rPr>
          <t>These values are not affected for the collector angle entries, but only for the reflectance value.</t>
        </r>
      </text>
    </comment>
    <comment ref="A30" authorId="0" shapeId="0" xr:uid="{00000000-0006-0000-0300-000017000000}">
      <text>
        <r>
          <rPr>
            <b/>
            <sz val="9"/>
            <color indexed="81"/>
            <rFont val="Tahoma"/>
            <family val="2"/>
          </rPr>
          <t>Formula: cosβcos(Φs-Φc)sin∑+sinβ cos∑</t>
        </r>
      </text>
    </comment>
    <comment ref="A31" authorId="1" shapeId="0" xr:uid="{00000000-0006-0000-0300-000018000000}">
      <text>
        <r>
          <rPr>
            <b/>
            <sz val="8"/>
            <color indexed="81"/>
            <rFont val="Tahoma"/>
            <family val="2"/>
          </rPr>
          <t>tjenkins:</t>
        </r>
        <r>
          <rPr>
            <sz val="8"/>
            <color indexed="81"/>
            <rFont val="Tahoma"/>
            <family val="2"/>
          </rPr>
          <t xml:space="preserve">
Amount of direct insolation that would hit the earth in a one meter square area.</t>
        </r>
      </text>
    </comment>
    <comment ref="A32" authorId="1" shapeId="0" xr:uid="{00000000-0006-0000-0300-000019000000}">
      <text>
        <r>
          <rPr>
            <b/>
            <sz val="8"/>
            <color indexed="81"/>
            <rFont val="Tahoma"/>
            <family val="2"/>
          </rPr>
          <t>tjenkins:</t>
        </r>
        <r>
          <rPr>
            <sz val="8"/>
            <color indexed="81"/>
            <rFont val="Tahoma"/>
            <family val="2"/>
          </rPr>
          <t xml:space="preserve">
Solar radiation hitting a collector face from diffuse sources only.</t>
        </r>
      </text>
    </comment>
    <comment ref="A33" authorId="1" shapeId="0" xr:uid="{00000000-0006-0000-0300-00001A000000}">
      <text>
        <r>
          <rPr>
            <b/>
            <sz val="8"/>
            <color indexed="81"/>
            <rFont val="Tahoma"/>
            <family val="2"/>
          </rPr>
          <t>tjenkins:</t>
        </r>
        <r>
          <rPr>
            <sz val="8"/>
            <color indexed="81"/>
            <rFont val="Tahoma"/>
            <family val="2"/>
          </rPr>
          <t xml:space="preserve">
Reflected insolation upon the collector face.</t>
        </r>
      </text>
    </comment>
    <comment ref="A34" authorId="1" shapeId="0" xr:uid="{00000000-0006-0000-0300-00001B000000}">
      <text>
        <r>
          <rPr>
            <b/>
            <sz val="8"/>
            <color indexed="81"/>
            <rFont val="Tahoma"/>
            <family val="2"/>
          </rPr>
          <t>tjenkins:</t>
        </r>
        <r>
          <rPr>
            <sz val="8"/>
            <color indexed="81"/>
            <rFont val="Tahoma"/>
            <family val="2"/>
          </rPr>
          <t xml:space="preserve">
Totla solar insolation on a collector face from all three sources.</t>
        </r>
      </text>
    </comment>
    <comment ref="F45" authorId="0" shapeId="0" xr:uid="{00000000-0006-0000-0300-00001C000000}">
      <text>
        <r>
          <rPr>
            <b/>
            <sz val="9"/>
            <color indexed="81"/>
            <rFont val="Tahoma"/>
            <family val="2"/>
          </rPr>
          <t>This calculation assumes that the voltage remain constant.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BOLIVAR-MENDOZA, GABRIEL - [ETSE]</author>
  </authors>
  <commentList>
    <comment ref="C8" authorId="0" shapeId="0" xr:uid="{00000000-0006-0000-0400-000001000000}">
      <text>
        <r>
          <rPr>
            <sz val="9"/>
            <color indexed="81"/>
            <rFont val="Tahoma"/>
            <family val="2"/>
          </rPr>
          <t>Degree angles the sun is away from the meridian (longitude value) specified.</t>
        </r>
      </text>
    </comment>
    <comment ref="B10" authorId="0" shapeId="0" xr:uid="{00000000-0006-0000-0400-000002000000}">
      <text>
        <r>
          <rPr>
            <sz val="9"/>
            <color indexed="81"/>
            <rFont val="Tahoma"/>
            <family val="2"/>
          </rPr>
          <t>Geometric Sunrise is based on angles measured to the center of the sun.</t>
        </r>
      </text>
    </comment>
    <comment ref="C13" authorId="0" shapeId="0" xr:uid="{00000000-0006-0000-0400-000003000000}">
      <text>
        <r>
          <rPr>
            <sz val="9"/>
            <color indexed="81"/>
            <rFont val="Tahoma"/>
            <family val="2"/>
          </rPr>
          <t>Atmospheric refraction that makes the sun appears to rise some minutes sonner.</t>
        </r>
      </text>
    </comment>
    <comment ref="B14" authorId="0" shapeId="0" xr:uid="{00000000-0006-0000-0400-000004000000}">
      <text>
        <r>
          <rPr>
            <sz val="9"/>
            <color indexed="81"/>
            <rFont val="Tahoma"/>
            <family val="2"/>
          </rPr>
          <t>Takes the adjustment factor into consideration.</t>
        </r>
      </text>
    </comment>
    <comment ref="C20" authorId="0" shapeId="0" xr:uid="{00000000-0006-0000-0400-000005000000}">
      <text>
        <r>
          <rPr>
            <sz val="9"/>
            <color indexed="81"/>
            <rFont val="Tahoma"/>
            <family val="2"/>
          </rPr>
          <t>Degree angles the sun is away from the meridian (longitude value) specified.</t>
        </r>
      </text>
    </comment>
    <comment ref="B22" authorId="0" shapeId="0" xr:uid="{00000000-0006-0000-0400-000006000000}">
      <text>
        <r>
          <rPr>
            <sz val="9"/>
            <color indexed="81"/>
            <rFont val="Tahoma"/>
            <family val="2"/>
          </rPr>
          <t>Geometric Sunrise is based on angles measured to the center of the sun.</t>
        </r>
      </text>
    </comment>
    <comment ref="C25" authorId="0" shapeId="0" xr:uid="{00000000-0006-0000-0400-000007000000}">
      <text>
        <r>
          <rPr>
            <sz val="9"/>
            <color indexed="81"/>
            <rFont val="Tahoma"/>
            <family val="2"/>
          </rPr>
          <t>Atmospheric refraction that makes the sun appears to set some minutes later.</t>
        </r>
      </text>
    </comment>
  </commentList>
</comments>
</file>

<file path=xl/sharedStrings.xml><?xml version="1.0" encoding="utf-8"?>
<sst xmlns="http://schemas.openxmlformats.org/spreadsheetml/2006/main" count="715" uniqueCount="231">
  <si>
    <t>degrees</t>
  </si>
  <si>
    <t>Solar Time, Angles, and Irradiance Calculator</t>
  </si>
  <si>
    <t>Copyright © NMSU 2013</t>
  </si>
  <si>
    <t>The authors wish to express extreme gratitude for the assistance of the following:</t>
  </si>
  <si>
    <t xml:space="preserve">College of Engineering (COE) and Engineering NM:                      http://engr.nmsu.edu/index.shtml  </t>
  </si>
  <si>
    <t>Cooperative Extension Service:                                                     http://extension.nmsu.edu/</t>
  </si>
  <si>
    <t>New Mexico Space Grant Consortium (NMSGC):                        http://www.nmspacegrant.com/</t>
  </si>
  <si>
    <t>Department of Engineering Technology and Surveying Engineering (ETSE):  http://et.nmsu.edu/</t>
  </si>
  <si>
    <t>See related energy videos at:</t>
  </si>
  <si>
    <t xml:space="preserve">http://www.youtube.com/playlist?list=PL89870B418A514D27  </t>
  </si>
  <si>
    <t>Time Conversion</t>
  </si>
  <si>
    <t>Hr</t>
  </si>
  <si>
    <t>minutes</t>
  </si>
  <si>
    <t>Local Time (CT)</t>
  </si>
  <si>
    <t>Time Zone (use drop-down menu)</t>
  </si>
  <si>
    <t>Eastern</t>
  </si>
  <si>
    <t>Central</t>
  </si>
  <si>
    <t>Mountain</t>
  </si>
  <si>
    <t>Pacific</t>
  </si>
  <si>
    <t>Min</t>
  </si>
  <si>
    <t>Y</t>
  </si>
  <si>
    <t>N</t>
  </si>
  <si>
    <t>or</t>
  </si>
  <si>
    <t>Determining Sun Angles for any Day/Time</t>
  </si>
  <si>
    <t>Solar Calculations at Solar Noon</t>
  </si>
  <si>
    <t>TILTED</t>
  </si>
  <si>
    <t>FLAT</t>
  </si>
  <si>
    <t>January</t>
  </si>
  <si>
    <t>February</t>
  </si>
  <si>
    <t>March</t>
  </si>
  <si>
    <t>April</t>
  </si>
  <si>
    <t>May</t>
  </si>
  <si>
    <t>July</t>
  </si>
  <si>
    <t>August</t>
  </si>
  <si>
    <t>September</t>
  </si>
  <si>
    <t>October</t>
  </si>
  <si>
    <t>November</t>
  </si>
  <si>
    <t>December</t>
  </si>
  <si>
    <t>Month</t>
  </si>
  <si>
    <t xml:space="preserve">n = </t>
  </si>
  <si>
    <t>n =</t>
  </si>
  <si>
    <t>Day</t>
  </si>
  <si>
    <t>Julian Day</t>
  </si>
  <si>
    <t>June</t>
  </si>
  <si>
    <t>Useful</t>
  </si>
  <si>
    <t>Enter the month and day to calculate the Julian day number:</t>
  </si>
  <si>
    <t>Time in decimal</t>
  </si>
  <si>
    <t>Local Meridian (degrees West of Greenwich)</t>
  </si>
  <si>
    <t>Calculations:</t>
  </si>
  <si>
    <t>hours</t>
  </si>
  <si>
    <t>Decimal</t>
  </si>
  <si>
    <t>12-hour Format</t>
  </si>
  <si>
    <t>Local Time Zones</t>
  </si>
  <si>
    <t>degrees West</t>
  </si>
  <si>
    <t xml:space="preserve">Solar Time (ST) </t>
  </si>
  <si>
    <t>Latitude</t>
  </si>
  <si>
    <t>Hours before/after solar noon (+/-)</t>
  </si>
  <si>
    <t>Solar Insolation</t>
  </si>
  <si>
    <t>1-AXIS TRACKER</t>
  </si>
  <si>
    <t>2-AXIS TRACKER</t>
  </si>
  <si>
    <t>Azimuth</t>
  </si>
  <si>
    <t>Before</t>
  </si>
  <si>
    <t>After</t>
  </si>
  <si>
    <t>Sunrise and Sunset</t>
  </si>
  <si>
    <t>Sunrise</t>
  </si>
  <si>
    <t>Hour angle</t>
  </si>
  <si>
    <t>min</t>
  </si>
  <si>
    <t>Sunset</t>
  </si>
  <si>
    <t>Geometric Sunset</t>
  </si>
  <si>
    <t>Geometric Sunrise</t>
  </si>
  <si>
    <t>Local Time</t>
  </si>
  <si>
    <t>Solar Time</t>
  </si>
  <si>
    <t>Day duration</t>
  </si>
  <si>
    <t>Hours</t>
  </si>
  <si>
    <t>Longitude</t>
  </si>
  <si>
    <t>Solar Time in Decimal</t>
  </si>
  <si>
    <t>Local Time in Decimal</t>
  </si>
  <si>
    <t>East from north</t>
  </si>
  <si>
    <t>West from south</t>
  </si>
  <si>
    <t>From book: east or west from north</t>
  </si>
  <si>
    <t>Solar Declination</t>
  </si>
  <si>
    <t>Solar Altitude</t>
  </si>
  <si>
    <t>Time</t>
  </si>
  <si>
    <t>Altitude</t>
  </si>
  <si>
    <t>Insolation</t>
  </si>
  <si>
    <t>Hours +/-</t>
  </si>
  <si>
    <t>Hour Angle</t>
  </si>
  <si>
    <t>Air Mass</t>
  </si>
  <si>
    <t>Ground Reflectance (ρ)</t>
  </si>
  <si>
    <t>Fresh snow</t>
  </si>
  <si>
    <t>Gravel roof</t>
  </si>
  <si>
    <t xml:space="preserve">Collector azimuth angle (Φc)  </t>
  </si>
  <si>
    <t>Reflectance of surface (ρ)</t>
  </si>
  <si>
    <t>Date</t>
  </si>
  <si>
    <t>Length</t>
  </si>
  <si>
    <t>Width</t>
  </si>
  <si>
    <t>in</t>
  </si>
  <si>
    <t>Amps</t>
  </si>
  <si>
    <t>V</t>
  </si>
  <si>
    <t>W</t>
  </si>
  <si>
    <t>ACTUAL POWER GENERATED</t>
  </si>
  <si>
    <t>Area</t>
  </si>
  <si>
    <t>Efficiency</t>
  </si>
  <si>
    <t>power generated for panel in 1m2</t>
  </si>
  <si>
    <t>Insolation with AM = 1.5</t>
  </si>
  <si>
    <t>Real power generated in 1m2</t>
  </si>
  <si>
    <t>Panel power (real size)</t>
  </si>
  <si>
    <t>These values assume given time</t>
  </si>
  <si>
    <t>Solar Calculations with Time Component</t>
  </si>
  <si>
    <r>
      <t xml:space="preserve">Location's </t>
    </r>
    <r>
      <rPr>
        <b/>
        <sz val="12"/>
        <rFont val="Times New Roman"/>
        <family val="1"/>
      </rPr>
      <t>Latitude</t>
    </r>
    <r>
      <rPr>
        <sz val="12"/>
        <rFont val="Times New Roman"/>
        <family val="1"/>
      </rPr>
      <t xml:space="preserve"> Angle in degrees</t>
    </r>
  </si>
  <si>
    <r>
      <t xml:space="preserve">Location's </t>
    </r>
    <r>
      <rPr>
        <b/>
        <sz val="12"/>
        <rFont val="Times New Roman"/>
        <family val="1"/>
      </rPr>
      <t>Longitude</t>
    </r>
    <r>
      <rPr>
        <sz val="12"/>
        <rFont val="Times New Roman"/>
        <family val="1"/>
      </rPr>
      <t xml:space="preserve"> Angle in degrees</t>
    </r>
  </si>
  <si>
    <r>
      <t xml:space="preserve">Enter the </t>
    </r>
    <r>
      <rPr>
        <b/>
        <i/>
        <u/>
        <sz val="12"/>
        <rFont val="Times New Roman"/>
        <family val="1"/>
      </rPr>
      <t>local</t>
    </r>
    <r>
      <rPr>
        <b/>
        <sz val="12"/>
        <rFont val="Times New Roman"/>
        <family val="1"/>
      </rPr>
      <t xml:space="preserve"> time: (hours and  min)</t>
    </r>
  </si>
  <si>
    <r>
      <t>Longitude Correction (</t>
    </r>
    <r>
      <rPr>
        <b/>
        <sz val="12"/>
        <rFont val="Times New Roman"/>
        <family val="1"/>
      </rPr>
      <t>B</t>
    </r>
    <r>
      <rPr>
        <sz val="12"/>
        <rFont val="Times New Roman"/>
        <family val="1"/>
      </rPr>
      <t>)</t>
    </r>
  </si>
  <si>
    <r>
      <t>Equation of Time (</t>
    </r>
    <r>
      <rPr>
        <b/>
        <sz val="12"/>
        <rFont val="Times New Roman"/>
        <family val="1"/>
      </rPr>
      <t>E</t>
    </r>
    <r>
      <rPr>
        <sz val="12"/>
        <rFont val="Times New Roman"/>
        <family val="1"/>
      </rPr>
      <t>)</t>
    </r>
  </si>
  <si>
    <r>
      <t>Solar Time</t>
    </r>
    <r>
      <rPr>
        <sz val="12"/>
        <rFont val="Times New Roman"/>
        <family val="1"/>
      </rPr>
      <t xml:space="preserve"> is:</t>
    </r>
  </si>
  <si>
    <r>
      <t>On this day, solar</t>
    </r>
    <r>
      <rPr>
        <b/>
        <u/>
        <sz val="12"/>
        <rFont val="Times New Roman"/>
        <family val="1"/>
      </rPr>
      <t xml:space="preserve"> noon</t>
    </r>
    <r>
      <rPr>
        <sz val="12"/>
        <rFont val="Times New Roman"/>
        <family val="1"/>
      </rPr>
      <t xml:space="preserve"> is at this</t>
    </r>
    <r>
      <rPr>
        <b/>
        <i/>
        <sz val="12"/>
        <rFont val="Times New Roman"/>
        <family val="1"/>
      </rPr>
      <t xml:space="preserve"> local time</t>
    </r>
    <r>
      <rPr>
        <sz val="12"/>
        <rFont val="Times New Roman"/>
        <family val="1"/>
      </rPr>
      <t>:</t>
    </r>
  </si>
  <si>
    <r>
      <rPr>
        <sz val="12"/>
        <rFont val="Times New Roman"/>
        <family val="1"/>
      </rPr>
      <t xml:space="preserve">Solar Declination </t>
    </r>
    <r>
      <rPr>
        <b/>
        <sz val="12"/>
        <rFont val="Times New Roman"/>
        <family val="1"/>
      </rPr>
      <t>(δ)</t>
    </r>
  </si>
  <si>
    <r>
      <rPr>
        <sz val="12"/>
        <rFont val="Times New Roman"/>
        <family val="1"/>
      </rPr>
      <t>Collector Tilt Angle</t>
    </r>
    <r>
      <rPr>
        <b/>
        <sz val="12"/>
        <rFont val="Times New Roman"/>
        <family val="1"/>
      </rPr>
      <t xml:space="preserve"> (Σ)</t>
    </r>
  </si>
  <si>
    <r>
      <t>Air Mass Ratio</t>
    </r>
    <r>
      <rPr>
        <b/>
        <sz val="12"/>
        <rFont val="Times New Roman"/>
        <family val="1"/>
      </rPr>
      <t xml:space="preserve"> (m)</t>
    </r>
  </si>
  <si>
    <r>
      <rPr>
        <sz val="12"/>
        <rFont val="Times New Roman"/>
        <family val="1"/>
      </rPr>
      <t xml:space="preserve">Solar Hour Angle </t>
    </r>
    <r>
      <rPr>
        <b/>
        <sz val="12"/>
        <rFont val="Times New Roman"/>
        <family val="1"/>
      </rPr>
      <t>(H)</t>
    </r>
  </si>
  <si>
    <r>
      <rPr>
        <sz val="12"/>
        <rFont val="Times New Roman"/>
        <family val="1"/>
      </rPr>
      <t xml:space="preserve">Solar Altitude </t>
    </r>
    <r>
      <rPr>
        <b/>
        <sz val="12"/>
        <rFont val="Times New Roman"/>
        <family val="1"/>
      </rPr>
      <t>(βs)</t>
    </r>
  </si>
  <si>
    <r>
      <rPr>
        <sz val="12"/>
        <rFont val="Times New Roman"/>
        <family val="1"/>
      </rPr>
      <t>Solar Azimuth Angle</t>
    </r>
    <r>
      <rPr>
        <b/>
        <sz val="12"/>
        <rFont val="Times New Roman"/>
        <family val="1"/>
      </rPr>
      <t xml:space="preserve"> (Φs)</t>
    </r>
  </si>
  <si>
    <r>
      <rPr>
        <sz val="12"/>
        <rFont val="Times New Roman"/>
        <family val="1"/>
      </rPr>
      <t>Air Mass Ratio</t>
    </r>
    <r>
      <rPr>
        <b/>
        <sz val="12"/>
        <rFont val="Times New Roman"/>
        <family val="1"/>
      </rPr>
      <t xml:space="preserve"> (m)</t>
    </r>
  </si>
  <si>
    <r>
      <rPr>
        <sz val="12"/>
        <rFont val="Times New Roman"/>
        <family val="1"/>
      </rPr>
      <t xml:space="preserve">Extraterrestrial Solar Insolation </t>
    </r>
    <r>
      <rPr>
        <b/>
        <sz val="12"/>
        <rFont val="Times New Roman"/>
        <family val="1"/>
      </rPr>
      <t>(I</t>
    </r>
    <r>
      <rPr>
        <b/>
        <vertAlign val="subscript"/>
        <sz val="12"/>
        <rFont val="Times New Roman"/>
        <family val="1"/>
      </rPr>
      <t>o</t>
    </r>
    <r>
      <rPr>
        <b/>
        <sz val="12"/>
        <rFont val="Times New Roman"/>
        <family val="1"/>
      </rPr>
      <t>)</t>
    </r>
  </si>
  <si>
    <r>
      <t>W/m</t>
    </r>
    <r>
      <rPr>
        <vertAlign val="superscript"/>
        <sz val="12"/>
        <rFont val="Times New Roman"/>
        <family val="1"/>
      </rPr>
      <t>2</t>
    </r>
  </si>
  <si>
    <r>
      <t>Apparent Extraterrestrial Solar Insolation</t>
    </r>
    <r>
      <rPr>
        <b/>
        <sz val="12"/>
        <rFont val="Times New Roman"/>
        <family val="1"/>
      </rPr>
      <t xml:space="preserve"> (A)</t>
    </r>
  </si>
  <si>
    <r>
      <t xml:space="preserve">Sky diffuse factor </t>
    </r>
    <r>
      <rPr>
        <b/>
        <sz val="12"/>
        <rFont val="Times New Roman"/>
        <family val="1"/>
      </rPr>
      <t>(C)</t>
    </r>
  </si>
  <si>
    <r>
      <t>Clear Sky Beam Radiation at the Earth (I</t>
    </r>
    <r>
      <rPr>
        <vertAlign val="subscript"/>
        <sz val="12"/>
        <rFont val="Times New Roman"/>
        <family val="1"/>
      </rPr>
      <t>B</t>
    </r>
    <r>
      <rPr>
        <sz val="12"/>
        <rFont val="Times New Roman"/>
        <family val="1"/>
      </rPr>
      <t>)</t>
    </r>
  </si>
  <si>
    <r>
      <rPr>
        <sz val="12"/>
        <rFont val="Times New Roman"/>
        <family val="1"/>
      </rPr>
      <t xml:space="preserve">Angle of Incidence </t>
    </r>
    <r>
      <rPr>
        <b/>
        <sz val="12"/>
        <rFont val="Times New Roman"/>
        <family val="1"/>
      </rPr>
      <t>(cosθ)</t>
    </r>
  </si>
  <si>
    <r>
      <t>Beam Insolation on a Collector Face</t>
    </r>
    <r>
      <rPr>
        <b/>
        <sz val="12"/>
        <rFont val="Times New Roman"/>
        <family val="1"/>
      </rPr>
      <t xml:space="preserve"> (I</t>
    </r>
    <r>
      <rPr>
        <b/>
        <vertAlign val="subscript"/>
        <sz val="12"/>
        <rFont val="Times New Roman"/>
        <family val="1"/>
      </rPr>
      <t>BC</t>
    </r>
    <r>
      <rPr>
        <b/>
        <sz val="12"/>
        <rFont val="Times New Roman"/>
        <family val="1"/>
      </rPr>
      <t>)</t>
    </r>
  </si>
  <si>
    <r>
      <t>Diffuse Radiation</t>
    </r>
    <r>
      <rPr>
        <b/>
        <sz val="12"/>
        <rFont val="Times New Roman"/>
        <family val="1"/>
      </rPr>
      <t xml:space="preserve"> (I</t>
    </r>
    <r>
      <rPr>
        <b/>
        <vertAlign val="subscript"/>
        <sz val="12"/>
        <rFont val="Times New Roman"/>
        <family val="1"/>
      </rPr>
      <t>DC</t>
    </r>
    <r>
      <rPr>
        <b/>
        <sz val="12"/>
        <rFont val="Times New Roman"/>
        <family val="1"/>
      </rPr>
      <t>)</t>
    </r>
  </si>
  <si>
    <r>
      <t xml:space="preserve">Reflected Radiation </t>
    </r>
    <r>
      <rPr>
        <b/>
        <sz val="12"/>
        <rFont val="Times New Roman"/>
        <family val="1"/>
      </rPr>
      <t>(I</t>
    </r>
    <r>
      <rPr>
        <b/>
        <vertAlign val="subscript"/>
        <sz val="12"/>
        <rFont val="Times New Roman"/>
        <family val="1"/>
      </rPr>
      <t>RC</t>
    </r>
    <r>
      <rPr>
        <b/>
        <sz val="12"/>
        <rFont val="Times New Roman"/>
        <family val="1"/>
      </rPr>
      <t>)</t>
    </r>
  </si>
  <si>
    <r>
      <t>Total Insolation on a Collector</t>
    </r>
    <r>
      <rPr>
        <b/>
        <sz val="12"/>
        <rFont val="Times New Roman"/>
        <family val="1"/>
      </rPr>
      <t xml:space="preserve"> (I</t>
    </r>
    <r>
      <rPr>
        <b/>
        <vertAlign val="subscript"/>
        <sz val="12"/>
        <rFont val="Times New Roman"/>
        <family val="1"/>
      </rPr>
      <t>C</t>
    </r>
    <r>
      <rPr>
        <b/>
        <sz val="12"/>
        <rFont val="Times New Roman"/>
        <family val="1"/>
      </rPr>
      <t>)</t>
    </r>
  </si>
  <si>
    <r>
      <t>Current (I</t>
    </r>
    <r>
      <rPr>
        <vertAlign val="subscript"/>
        <sz val="12"/>
        <rFont val="Times New Roman"/>
        <family val="1"/>
      </rPr>
      <t>mp</t>
    </r>
    <r>
      <rPr>
        <sz val="12"/>
        <rFont val="Times New Roman"/>
        <family val="1"/>
      </rPr>
      <t>)</t>
    </r>
  </si>
  <si>
    <r>
      <t>Voltage (V</t>
    </r>
    <r>
      <rPr>
        <vertAlign val="subscript"/>
        <sz val="12"/>
        <rFont val="Times New Roman"/>
        <family val="1"/>
      </rPr>
      <t>mp</t>
    </r>
    <r>
      <rPr>
        <sz val="12"/>
        <rFont val="Times New Roman"/>
        <family val="1"/>
      </rPr>
      <t>)</t>
    </r>
  </si>
  <si>
    <r>
      <t>Power (P</t>
    </r>
    <r>
      <rPr>
        <vertAlign val="subscript"/>
        <sz val="12"/>
        <rFont val="Times New Roman"/>
        <family val="1"/>
      </rPr>
      <t>max</t>
    </r>
    <r>
      <rPr>
        <sz val="12"/>
        <rFont val="Times New Roman"/>
        <family val="1"/>
      </rPr>
      <t>)</t>
    </r>
  </si>
  <si>
    <r>
      <t>Hours</t>
    </r>
    <r>
      <rPr>
        <b/>
        <i/>
        <sz val="12"/>
        <rFont val="Times New Roman"/>
        <family val="1"/>
      </rPr>
      <t xml:space="preserve"> Before</t>
    </r>
    <r>
      <rPr>
        <sz val="12"/>
        <rFont val="Times New Roman"/>
        <family val="1"/>
      </rPr>
      <t xml:space="preserve"> Solar Noon</t>
    </r>
  </si>
  <si>
    <r>
      <t>Adjustment Factor</t>
    </r>
    <r>
      <rPr>
        <b/>
        <sz val="12"/>
        <rFont val="Times New Roman"/>
        <family val="1"/>
      </rPr>
      <t xml:space="preserve"> (Q)</t>
    </r>
  </si>
  <si>
    <r>
      <t xml:space="preserve">Hours </t>
    </r>
    <r>
      <rPr>
        <b/>
        <i/>
        <sz val="12"/>
        <rFont val="Times New Roman"/>
        <family val="1"/>
      </rPr>
      <t>After</t>
    </r>
    <r>
      <rPr>
        <sz val="12"/>
        <rFont val="Times New Roman"/>
        <family val="1"/>
      </rPr>
      <t xml:space="preserve"> Solar Noon</t>
    </r>
  </si>
  <si>
    <r>
      <rPr>
        <sz val="12"/>
        <rFont val="Times New Roman"/>
        <family val="1"/>
      </rPr>
      <t xml:space="preserve">Solar Altitude </t>
    </r>
    <r>
      <rPr>
        <b/>
        <sz val="12"/>
        <rFont val="Times New Roman"/>
        <family val="1"/>
      </rPr>
      <t>(βn)</t>
    </r>
    <r>
      <rPr>
        <sz val="12"/>
        <rFont val="Times New Roman"/>
        <family val="1"/>
      </rPr>
      <t xml:space="preserve"> </t>
    </r>
    <r>
      <rPr>
        <sz val="10"/>
        <rFont val="Times New Roman"/>
        <family val="1"/>
      </rPr>
      <t>sun angle from horizon at noon</t>
    </r>
  </si>
  <si>
    <r>
      <t>Optical Depth -</t>
    </r>
    <r>
      <rPr>
        <sz val="10"/>
        <rFont val="Times New Roman"/>
        <family val="1"/>
      </rPr>
      <t xml:space="preserve"> how hard is it for light to pass</t>
    </r>
    <r>
      <rPr>
        <b/>
        <sz val="12"/>
        <rFont val="Times New Roman"/>
        <family val="1"/>
      </rPr>
      <t xml:space="preserve"> (k)</t>
    </r>
  </si>
  <si>
    <r>
      <t xml:space="preserve">Power generated </t>
    </r>
    <r>
      <rPr>
        <sz val="10"/>
        <rFont val="Times New Roman"/>
        <family val="1"/>
      </rPr>
      <t>compared to the TILTED option</t>
    </r>
  </si>
  <si>
    <t>kW/h-day</t>
  </si>
  <si>
    <t>trapezoidal</t>
  </si>
  <si>
    <t>simpson's</t>
  </si>
  <si>
    <t>Integral</t>
  </si>
  <si>
    <t>Max at Noon</t>
  </si>
  <si>
    <t>Daylight Hrs</t>
  </si>
  <si>
    <t>from cell</t>
  </si>
  <si>
    <t>to cell</t>
  </si>
  <si>
    <t>Direct</t>
  </si>
  <si>
    <t>Reflected</t>
  </si>
  <si>
    <t>Flat</t>
  </si>
  <si>
    <t>Tilted</t>
  </si>
  <si>
    <t>1-Axis</t>
  </si>
  <si>
    <t>2-Axis</t>
  </si>
  <si>
    <t>S. Altitude</t>
  </si>
  <si>
    <t>S. Azimuth</t>
  </si>
  <si>
    <t>2nd</t>
  </si>
  <si>
    <t>1st</t>
  </si>
  <si>
    <t>3rd</t>
  </si>
  <si>
    <t>Incidence Angles</t>
  </si>
  <si>
    <t>Total1</t>
  </si>
  <si>
    <t>Total2</t>
  </si>
  <si>
    <t>Total3</t>
  </si>
  <si>
    <t>Eq</t>
  </si>
  <si>
    <t xml:space="preserve"> Time</t>
  </si>
  <si>
    <t>yearly insolation</t>
  </si>
  <si>
    <t>AT SOLAR NOON:</t>
  </si>
  <si>
    <t>AT GIVEN TIME:</t>
  </si>
  <si>
    <t>Total Daily Insolation</t>
  </si>
  <si>
    <t>Flat Panel</t>
  </si>
  <si>
    <t>Tilted Panel</t>
  </si>
  <si>
    <t>1-Axis Tracker</t>
  </si>
  <si>
    <t>2-Axis Tracker</t>
  </si>
  <si>
    <t>kWh/day</t>
  </si>
  <si>
    <t>Total Yearly Insolation</t>
  </si>
  <si>
    <t>Declination</t>
  </si>
  <si>
    <t>JANUARY</t>
  </si>
  <si>
    <t>H angle</t>
  </si>
  <si>
    <t>Io</t>
  </si>
  <si>
    <t>A</t>
  </si>
  <si>
    <t>C</t>
  </si>
  <si>
    <t>IB</t>
  </si>
  <si>
    <t>k</t>
  </si>
  <si>
    <t>m</t>
  </si>
  <si>
    <t>cosθ flat</t>
  </si>
  <si>
    <t>cosθ tilt</t>
  </si>
  <si>
    <t>Diffuse</t>
  </si>
  <si>
    <t>Total Daily Insolation at the given day</t>
  </si>
  <si>
    <t>FEBRUARY</t>
  </si>
  <si>
    <t>MARCH</t>
  </si>
  <si>
    <t>APRIL</t>
  </si>
  <si>
    <t>MAY</t>
  </si>
  <si>
    <t>JUNE</t>
  </si>
  <si>
    <t>JULY</t>
  </si>
  <si>
    <t>AUGUST</t>
  </si>
  <si>
    <t>SEPTEMBER</t>
  </si>
  <si>
    <t>OCTOBER</t>
  </si>
  <si>
    <t>NOVEMBER</t>
  </si>
  <si>
    <t>DECEMBER</t>
  </si>
  <si>
    <t>TOTAL</t>
  </si>
  <si>
    <t>TOTAL2</t>
  </si>
  <si>
    <t>Ins*#day each month</t>
  </si>
  <si>
    <t>sum,avg*365</t>
  </si>
  <si>
    <r>
      <t>kWh/m</t>
    </r>
    <r>
      <rPr>
        <vertAlign val="superscript"/>
        <sz val="12"/>
        <rFont val="Times New Roman"/>
        <family val="1"/>
      </rPr>
      <t>2</t>
    </r>
    <r>
      <rPr>
        <sz val="12"/>
        <rFont val="Times New Roman"/>
        <family val="1"/>
      </rPr>
      <t>-yr</t>
    </r>
  </si>
  <si>
    <t>Collector tilt angle (∑)</t>
  </si>
  <si>
    <r>
      <rPr>
        <b/>
        <sz val="12"/>
        <rFont val="Times New Roman"/>
        <family val="1"/>
      </rPr>
      <t>Step 7.</t>
    </r>
    <r>
      <rPr>
        <sz val="12"/>
        <rFont val="Times New Roman"/>
        <family val="1"/>
      </rPr>
      <t xml:space="preserve"> The next table calculates the actual amount of power generated by a solar panel. Enter the physical size of the solar panel you plan to use as well as its rated voltage, current, and power values at Standard Test Conditions (1000 W/m</t>
    </r>
    <r>
      <rPr>
        <vertAlign val="superscript"/>
        <sz val="12"/>
        <rFont val="Times New Roman"/>
        <family val="1"/>
      </rPr>
      <t>2</t>
    </r>
    <r>
      <rPr>
        <sz val="12"/>
        <rFont val="Times New Roman"/>
        <family val="1"/>
      </rPr>
      <t xml:space="preserve"> irradiance, 25°C cell temperature, and 1.5 Air Mass Ratio). The width and length values are in inches.</t>
    </r>
  </si>
  <si>
    <t>Julian Day Number for the 1st Day of Each Month</t>
  </si>
  <si>
    <r>
      <rPr>
        <sz val="12"/>
        <rFont val="Times New Roman"/>
        <family val="1"/>
      </rPr>
      <t>Collector Tilt Angle</t>
    </r>
    <r>
      <rPr>
        <b/>
        <sz val="12"/>
        <rFont val="Times New Roman"/>
        <family val="1"/>
      </rPr>
      <t xml:space="preserve"> (Σ)</t>
    </r>
    <r>
      <rPr>
        <sz val="10"/>
        <rFont val="Times New Roman"/>
        <family val="1"/>
      </rPr>
      <t xml:space="preserve"> (optimal)</t>
    </r>
  </si>
  <si>
    <t>Hours before (+) or after (-) solar noon</t>
  </si>
  <si>
    <t>Authors: Prof. Thomas Jenkins, Gabriel Bolivar</t>
  </si>
  <si>
    <r>
      <rPr>
        <b/>
        <sz val="12"/>
        <color indexed="8"/>
        <rFont val="Times New Roman"/>
        <family val="1"/>
      </rPr>
      <t xml:space="preserve">Disclaimer: </t>
    </r>
    <r>
      <rPr>
        <sz val="12"/>
        <color indexed="8"/>
        <rFont val="Times New Roman"/>
        <family val="1"/>
      </rPr>
      <t xml:space="preserve">This document is only intended to provide an education tool and should not be used beyond </t>
    </r>
  </si>
  <si>
    <t xml:space="preserve">this purpose. The authors tried to use good engineering analysis but all situations are different and the user </t>
  </si>
  <si>
    <t>should consult a professional in all cases.</t>
  </si>
  <si>
    <t>24-hour Format</t>
  </si>
  <si>
    <t xml:space="preserve">Acknowledgments: </t>
  </si>
  <si>
    <t>Determining Solar Versus Local Time</t>
  </si>
  <si>
    <r>
      <rPr>
        <b/>
        <sz val="12"/>
        <rFont val="Times New Roman"/>
        <family val="1"/>
      </rPr>
      <t>Step 1:</t>
    </r>
    <r>
      <rPr>
        <sz val="12"/>
        <rFont val="Times New Roman"/>
        <family val="1"/>
      </rPr>
      <t xml:space="preserve"> In the table to the right, enter the local </t>
    </r>
    <r>
      <rPr>
        <b/>
        <sz val="12"/>
        <rFont val="Times New Roman"/>
        <family val="1"/>
      </rPr>
      <t>latitude</t>
    </r>
    <r>
      <rPr>
        <sz val="12"/>
        <rFont val="Times New Roman"/>
        <family val="1"/>
      </rPr>
      <t xml:space="preserve"> and </t>
    </r>
    <r>
      <rPr>
        <b/>
        <sz val="12"/>
        <rFont val="Times New Roman"/>
        <family val="1"/>
      </rPr>
      <t xml:space="preserve"> longitude</t>
    </r>
    <r>
      <rPr>
        <sz val="12"/>
        <rFont val="Times New Roman"/>
        <family val="1"/>
      </rPr>
      <t xml:space="preserve"> angles of the location in degrees. For example, Las Cruces, NM, is at latitude 32.32 degrees north from the Equator and at longitude 106.75 degrees west from the Prime Meridian.</t>
    </r>
  </si>
  <si>
    <r>
      <rPr>
        <b/>
        <sz val="12"/>
        <rFont val="Times New Roman"/>
        <family val="1"/>
      </rPr>
      <t>Step 2:</t>
    </r>
    <r>
      <rPr>
        <sz val="12"/>
        <rFont val="Times New Roman"/>
        <family val="1"/>
      </rPr>
      <t xml:space="preserve"> In the same table to the right, enter the </t>
    </r>
    <r>
      <rPr>
        <b/>
        <sz val="12"/>
        <rFont val="Times New Roman"/>
        <family val="1"/>
      </rPr>
      <t>month</t>
    </r>
    <r>
      <rPr>
        <sz val="12"/>
        <rFont val="Times New Roman"/>
        <family val="1"/>
      </rPr>
      <t xml:space="preserve"> and </t>
    </r>
    <r>
      <rPr>
        <b/>
        <sz val="12"/>
        <rFont val="Times New Roman"/>
        <family val="1"/>
      </rPr>
      <t>day</t>
    </r>
    <r>
      <rPr>
        <sz val="12"/>
        <rFont val="Times New Roman"/>
        <family val="1"/>
      </rPr>
      <t xml:space="preserve"> for which you want to calculate the corresponding </t>
    </r>
    <r>
      <rPr>
        <b/>
        <sz val="12"/>
        <rFont val="Times New Roman"/>
        <family val="1"/>
      </rPr>
      <t>Julian Day (1–365)</t>
    </r>
    <r>
      <rPr>
        <sz val="12"/>
        <rFont val="Times New Roman"/>
        <family val="1"/>
      </rPr>
      <t xml:space="preserve"> of the year, with 1 being Jan 1st and 365 being Dec 31st.</t>
    </r>
  </si>
  <si>
    <r>
      <rPr>
        <b/>
        <sz val="12"/>
        <rFont val="Times New Roman"/>
        <family val="1"/>
      </rPr>
      <t>Step 3:</t>
    </r>
    <r>
      <rPr>
        <sz val="12"/>
        <rFont val="Times New Roman"/>
        <family val="1"/>
      </rPr>
      <t xml:space="preserve"> In the green cells below, enter the local time in the green  "Enter the </t>
    </r>
    <r>
      <rPr>
        <i/>
        <u/>
        <sz val="12"/>
        <rFont val="Times New Roman"/>
        <family val="1"/>
      </rPr>
      <t>local</t>
    </r>
    <r>
      <rPr>
        <sz val="12"/>
        <rFont val="Times New Roman"/>
        <family val="1"/>
      </rPr>
      <t xml:space="preserve"> time" cell. Enter the value for the hour using 24-hour time—for example, 2:30 pm would be 14 hours (Hr) and 30 minutes (Min). Finally, enter whether or not Daylight Saving Time is active, along with the corresponding Time Zone of the location.</t>
    </r>
  </si>
  <si>
    <t>Are you in Daylight Saving Time (Y/N)?</t>
  </si>
  <si>
    <r>
      <t>Step 4:</t>
    </r>
    <r>
      <rPr>
        <sz val="12"/>
        <rFont val="Times New Roman"/>
        <family val="1"/>
      </rPr>
      <t xml:space="preserve"> To convert from solar time to local time, use the input cells below. Enter the solar time in the green cells (hours in 24-hour time format). A decimal hour value and the corresponding local time for the location previously entered will be displayed.</t>
    </r>
  </si>
  <si>
    <r>
      <rPr>
        <b/>
        <sz val="12"/>
        <rFont val="Times New Roman"/>
        <family val="1"/>
      </rPr>
      <t>Step 5</t>
    </r>
    <r>
      <rPr>
        <sz val="12"/>
        <rFont val="Times New Roman"/>
        <family val="1"/>
      </rPr>
      <t xml:space="preserve">: The table to the right shows the values previously entered: latitude and longitude angles, Julian day, local time, and solar time. These values are taken from the previous </t>
    </r>
    <r>
      <rPr>
        <i/>
        <sz val="12"/>
        <rFont val="Times New Roman"/>
        <family val="1"/>
      </rPr>
      <t>Time</t>
    </r>
    <r>
      <rPr>
        <sz val="12"/>
        <rFont val="Times New Roman"/>
        <family val="1"/>
      </rPr>
      <t xml:space="preserve"> sheet entries. In the cells below, the solar angles are calculated for both the </t>
    </r>
    <r>
      <rPr>
        <b/>
        <sz val="12"/>
        <rFont val="Times New Roman"/>
        <family val="1"/>
      </rPr>
      <t>Solar Noon</t>
    </r>
    <r>
      <rPr>
        <sz val="12"/>
        <rFont val="Times New Roman"/>
        <family val="1"/>
      </rPr>
      <t xml:space="preserve"> and the time specified. You do not have to enter any values within this sheet.</t>
    </r>
  </si>
  <si>
    <r>
      <t xml:space="preserve">Step 6: </t>
    </r>
    <r>
      <rPr>
        <sz val="12"/>
        <rFont val="Times New Roman"/>
        <family val="1"/>
      </rPr>
      <t>This sheet calculates the three diferent components of the solar insolation (direct, diffuse, and reflected) and values related to these calculations. It will also display the insolation for different types of collector angles (flat, optimal tilted, and 1- and 2-axis trackers). In the green cells to the right, enter the azimuth angle and the tilt angle of the collector. Azimuth angles are positive (+) in the southeast and negative (-) in the southwest. Finally, enter the coefficient for the reflectance of the surface. Use the table to the right as a guide.</t>
    </r>
  </si>
  <si>
    <t>Ocean ice</t>
  </si>
  <si>
    <t>Desert sand</t>
  </si>
  <si>
    <t>Ordinary ground/grass</t>
  </si>
  <si>
    <r>
      <rPr>
        <b/>
        <sz val="12"/>
        <rFont val="Times New Roman"/>
        <family val="1"/>
      </rPr>
      <t>Step 8:</t>
    </r>
    <r>
      <rPr>
        <sz val="12"/>
        <rFont val="Times New Roman"/>
        <family val="1"/>
      </rPr>
      <t xml:space="preserve"> This sheet calculates the approximate hour for the sunrise and sunset at the date and location previously specified. It also shows the duration of visible sunlight during that day. You do not have to enter any values within this sheet.</t>
    </r>
  </si>
  <si>
    <t>Conventional Sunrise</t>
  </si>
  <si>
    <t>20 degree Winter Jan 14th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</si>
</sst>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h:mm;@"/>
    <numFmt numFmtId="166" formatCode="[$-409]h:mm\ AM/PM;@"/>
    <numFmt numFmtId="167" formatCode="0.0"/>
    <numFmt numFmtId="168" formatCode="0.0000"/>
    <numFmt numFmtId="169" formatCode="[$-F400]h:mm:ss\ AM/PM"/>
  </numFmts>
  <fonts count="52" x14ac:knownFonts="1">
    <font>
      <sz val="10"/>
      <name val="Arial"/>
    </font>
    <font>
      <sz val="8"/>
      <name val="Arial"/>
      <family val="2"/>
    </font>
    <font>
      <sz val="10"/>
      <name val="Times New Roman"/>
      <family val="1"/>
    </font>
    <font>
      <b/>
      <sz val="11"/>
      <color indexed="17"/>
      <name val="Times New Roman"/>
      <family val="1"/>
    </font>
    <font>
      <b/>
      <sz val="11"/>
      <name val="Times New Roman"/>
      <family val="1"/>
    </font>
    <font>
      <sz val="11"/>
      <name val="Times New Roman"/>
      <family val="1"/>
    </font>
    <font>
      <sz val="12"/>
      <name val="Times New Roman"/>
      <family val="1"/>
    </font>
    <font>
      <b/>
      <sz val="12"/>
      <name val="Times New Roman"/>
      <family val="1"/>
    </font>
    <font>
      <sz val="26"/>
      <name val="Times New Roman"/>
      <family val="1"/>
    </font>
    <font>
      <b/>
      <sz val="12"/>
      <color indexed="8"/>
      <name val="Times New Roman"/>
      <family val="1"/>
    </font>
    <font>
      <sz val="12"/>
      <color indexed="8"/>
      <name val="Times New Roman"/>
      <family val="1"/>
    </font>
    <font>
      <sz val="28"/>
      <name val="Times New Roman"/>
      <family val="1"/>
    </font>
    <font>
      <b/>
      <sz val="8"/>
      <color indexed="81"/>
      <name val="Tahoma"/>
      <family val="2"/>
    </font>
    <font>
      <sz val="8"/>
      <color indexed="81"/>
      <name val="Tahoma"/>
      <family val="2"/>
    </font>
    <font>
      <sz val="9"/>
      <color indexed="81"/>
      <name val="Tahoma"/>
      <family val="2"/>
    </font>
    <font>
      <b/>
      <sz val="9"/>
      <color indexed="81"/>
      <name val="Tahoma"/>
      <family val="2"/>
    </font>
    <font>
      <u/>
      <sz val="11"/>
      <color theme="10"/>
      <name val="Calibri"/>
      <family val="2"/>
      <scheme val="minor"/>
    </font>
    <font>
      <b/>
      <sz val="12"/>
      <color theme="1"/>
      <name val="Times New Roman"/>
      <family val="1"/>
    </font>
    <font>
      <sz val="12"/>
      <color theme="1"/>
      <name val="Times New Roman"/>
      <family val="1"/>
    </font>
    <font>
      <sz val="11"/>
      <color theme="10"/>
      <name val="Times New Roman"/>
      <family val="1"/>
    </font>
    <font>
      <b/>
      <sz val="11"/>
      <color rgb="FF008000"/>
      <name val="Times New Roman"/>
      <family val="1"/>
    </font>
    <font>
      <b/>
      <sz val="9"/>
      <color indexed="81"/>
      <name val="Calibri"/>
      <family val="2"/>
    </font>
    <font>
      <sz val="11"/>
      <color rgb="FFFF0000"/>
      <name val="Times New Roman"/>
      <family val="1"/>
    </font>
    <font>
      <sz val="10"/>
      <name val="Arial"/>
      <family val="2"/>
    </font>
    <font>
      <sz val="12"/>
      <color theme="0"/>
      <name val="Times New Roman"/>
      <family val="1"/>
    </font>
    <font>
      <sz val="10"/>
      <name val="Arial"/>
      <family val="2"/>
    </font>
    <font>
      <i/>
      <sz val="12"/>
      <name val="Times New Roman"/>
      <family val="1"/>
    </font>
    <font>
      <b/>
      <i/>
      <u/>
      <sz val="12"/>
      <name val="Times New Roman"/>
      <family val="1"/>
    </font>
    <font>
      <b/>
      <u/>
      <sz val="12"/>
      <name val="Times New Roman"/>
      <family val="1"/>
    </font>
    <font>
      <sz val="12"/>
      <color indexed="17"/>
      <name val="Times New Roman"/>
      <family val="1"/>
    </font>
    <font>
      <u/>
      <sz val="12"/>
      <name val="Times New Roman"/>
      <family val="1"/>
    </font>
    <font>
      <b/>
      <i/>
      <sz val="12"/>
      <name val="Times New Roman"/>
      <family val="1"/>
    </font>
    <font>
      <b/>
      <sz val="12"/>
      <color indexed="17"/>
      <name val="Times New Roman"/>
      <family val="1"/>
    </font>
    <font>
      <sz val="12"/>
      <color rgb="FFC00000"/>
      <name val="Times New Roman"/>
      <family val="1"/>
    </font>
    <font>
      <b/>
      <sz val="12"/>
      <color indexed="10"/>
      <name val="Times New Roman"/>
      <family val="1"/>
    </font>
    <font>
      <b/>
      <vertAlign val="subscript"/>
      <sz val="12"/>
      <name val="Times New Roman"/>
      <family val="1"/>
    </font>
    <font>
      <vertAlign val="superscript"/>
      <sz val="12"/>
      <name val="Times New Roman"/>
      <family val="1"/>
    </font>
    <font>
      <vertAlign val="subscript"/>
      <sz val="12"/>
      <name val="Times New Roman"/>
      <family val="1"/>
    </font>
    <font>
      <sz val="12"/>
      <name val="Calibri"/>
      <family val="2"/>
    </font>
    <font>
      <sz val="10"/>
      <color theme="0" tint="-0.499984740745262"/>
      <name val="Times New Roman"/>
      <family val="1"/>
    </font>
    <font>
      <b/>
      <sz val="14"/>
      <name val="Times New Roman"/>
      <family val="1"/>
    </font>
    <font>
      <b/>
      <u/>
      <sz val="14"/>
      <name val="Times New Roman"/>
      <family val="1"/>
    </font>
    <font>
      <sz val="10"/>
      <color rgb="FF333333"/>
      <name val="Arial"/>
      <family val="2"/>
    </font>
    <font>
      <b/>
      <sz val="12"/>
      <color rgb="FF333333"/>
      <name val="Arial"/>
      <family val="2"/>
    </font>
    <font>
      <sz val="10"/>
      <color rgb="FF333333"/>
      <name val="Verdana"/>
      <family val="2"/>
    </font>
    <font>
      <b/>
      <sz val="10"/>
      <name val="Arial"/>
      <family val="2"/>
    </font>
    <font>
      <b/>
      <u/>
      <sz val="16"/>
      <color theme="4" tint="-0.249977111117893"/>
      <name val="Times New Roman"/>
      <family val="1"/>
    </font>
    <font>
      <b/>
      <i/>
      <u/>
      <sz val="10"/>
      <name val="Arial"/>
      <family val="2"/>
    </font>
    <font>
      <b/>
      <i/>
      <sz val="10"/>
      <name val="Arial"/>
      <family val="2"/>
    </font>
    <font>
      <b/>
      <u/>
      <sz val="10"/>
      <name val="Arial"/>
      <family val="2"/>
    </font>
    <font>
      <sz val="11"/>
      <color theme="0"/>
      <name val="Times New Roman"/>
      <family val="1"/>
    </font>
    <font>
      <i/>
      <u/>
      <sz val="12"/>
      <name val="Times New Roman"/>
      <family val="1"/>
    </font>
  </fonts>
  <fills count="10">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FF99"/>
        <bgColor indexed="64"/>
      </patternFill>
    </fill>
    <fill>
      <patternFill patternType="solid">
        <fgColor theme="9" tint="0.59999389629810485"/>
        <bgColor indexed="64"/>
      </patternFill>
    </fill>
  </fills>
  <borders count="53">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ck">
        <color auto="1"/>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s>
  <cellStyleXfs count="3">
    <xf numFmtId="0" fontId="0" fillId="0" borderId="0"/>
    <xf numFmtId="0" fontId="16" fillId="0" borderId="0" applyNumberFormat="0" applyFill="0" applyBorder="0" applyAlignment="0" applyProtection="0"/>
    <xf numFmtId="9" fontId="25" fillId="0" borderId="0" applyFont="0" applyFill="0" applyBorder="0" applyAlignment="0" applyProtection="0"/>
  </cellStyleXfs>
  <cellXfs count="344">
    <xf numFmtId="0" fontId="0" fillId="0" borderId="0" xfId="0"/>
    <xf numFmtId="0" fontId="6" fillId="0" borderId="0" xfId="0" applyFont="1"/>
    <xf numFmtId="0" fontId="0" fillId="0" borderId="0" xfId="0" applyProtection="1">
      <protection hidden="1"/>
    </xf>
    <xf numFmtId="0" fontId="17" fillId="0" borderId="0" xfId="0" applyFont="1" applyProtection="1">
      <protection hidden="1"/>
    </xf>
    <xf numFmtId="0" fontId="18" fillId="0" borderId="0" xfId="0" applyFont="1" applyProtection="1">
      <protection hidden="1"/>
    </xf>
    <xf numFmtId="0" fontId="18" fillId="2" borderId="1" xfId="0" applyFont="1" applyFill="1" applyBorder="1" applyProtection="1">
      <protection hidden="1"/>
    </xf>
    <xf numFmtId="0" fontId="18" fillId="2" borderId="2" xfId="0" applyFont="1" applyFill="1" applyBorder="1" applyProtection="1">
      <protection hidden="1"/>
    </xf>
    <xf numFmtId="0" fontId="18" fillId="2" borderId="3" xfId="0" applyFont="1" applyFill="1" applyBorder="1" applyProtection="1">
      <protection hidden="1"/>
    </xf>
    <xf numFmtId="0" fontId="18" fillId="2" borderId="4" xfId="0" applyFont="1" applyFill="1" applyBorder="1" applyProtection="1">
      <protection hidden="1"/>
    </xf>
    <xf numFmtId="0" fontId="18" fillId="2" borderId="0" xfId="0" applyFont="1" applyFill="1" applyProtection="1">
      <protection hidden="1"/>
    </xf>
    <xf numFmtId="0" fontId="18" fillId="2" borderId="5" xfId="0" applyFont="1" applyFill="1" applyBorder="1" applyProtection="1">
      <protection hidden="1"/>
    </xf>
    <xf numFmtId="0" fontId="18" fillId="2" borderId="6" xfId="0" applyFont="1" applyFill="1" applyBorder="1" applyProtection="1">
      <protection hidden="1"/>
    </xf>
    <xf numFmtId="0" fontId="18" fillId="2" borderId="7" xfId="0" applyFont="1" applyFill="1" applyBorder="1" applyProtection="1">
      <protection hidden="1"/>
    </xf>
    <xf numFmtId="0" fontId="18" fillId="2" borderId="8" xfId="0" applyFont="1" applyFill="1" applyBorder="1" applyProtection="1">
      <protection hidden="1"/>
    </xf>
    <xf numFmtId="0" fontId="18" fillId="0" borderId="0" xfId="0" applyFont="1" applyAlignment="1" applyProtection="1">
      <alignment horizontal="left" indent="1"/>
      <protection hidden="1"/>
    </xf>
    <xf numFmtId="14" fontId="6" fillId="0" borderId="0" xfId="0" applyNumberFormat="1" applyFont="1"/>
    <xf numFmtId="0" fontId="2" fillId="0" borderId="0" xfId="0" applyFont="1" applyProtection="1">
      <protection hidden="1"/>
    </xf>
    <xf numFmtId="0" fontId="19" fillId="0" borderId="0" xfId="1" applyFont="1" applyBorder="1" applyAlignment="1" applyProtection="1">
      <protection hidden="1"/>
    </xf>
    <xf numFmtId="0" fontId="18" fillId="0" borderId="0" xfId="0" applyFont="1" applyAlignment="1" applyProtection="1">
      <alignment horizontal="center"/>
      <protection hidden="1"/>
    </xf>
    <xf numFmtId="0" fontId="5" fillId="0" borderId="0" xfId="0" applyFont="1"/>
    <xf numFmtId="0" fontId="3" fillId="0" borderId="0" xfId="0" applyFont="1"/>
    <xf numFmtId="0" fontId="4" fillId="0" borderId="0" xfId="0" applyFont="1" applyAlignment="1">
      <alignment horizontal="center"/>
    </xf>
    <xf numFmtId="2" fontId="5" fillId="0" borderId="0" xfId="0" applyNumberFormat="1" applyFont="1"/>
    <xf numFmtId="0" fontId="4" fillId="0" borderId="0" xfId="0" applyFont="1"/>
    <xf numFmtId="0" fontId="20" fillId="0" borderId="0" xfId="0" applyFont="1"/>
    <xf numFmtId="164" fontId="5" fillId="0" borderId="0" xfId="0" applyNumberFormat="1" applyFont="1"/>
    <xf numFmtId="2" fontId="3" fillId="0" borderId="0" xfId="0" applyNumberFormat="1" applyFont="1"/>
    <xf numFmtId="0" fontId="5" fillId="0" borderId="0" xfId="0" applyFont="1" applyAlignment="1">
      <alignment horizontal="center"/>
    </xf>
    <xf numFmtId="1" fontId="4" fillId="0" borderId="0" xfId="0" applyNumberFormat="1" applyFont="1" applyAlignment="1">
      <alignment horizontal="right"/>
    </xf>
    <xf numFmtId="0" fontId="5" fillId="0" borderId="0" xfId="0" applyFont="1" applyAlignment="1">
      <alignment horizontal="center" vertical="top" wrapText="1"/>
    </xf>
    <xf numFmtId="0" fontId="5" fillId="0" borderId="0" xfId="0" applyFont="1" applyAlignment="1">
      <alignment vertical="top"/>
    </xf>
    <xf numFmtId="0" fontId="5" fillId="0" borderId="0" xfId="0" applyFont="1" applyAlignment="1">
      <alignment vertical="top" wrapText="1"/>
    </xf>
    <xf numFmtId="2" fontId="22" fillId="0" borderId="0" xfId="0" applyNumberFormat="1" applyFont="1"/>
    <xf numFmtId="0" fontId="5" fillId="0" borderId="0" xfId="0" applyFont="1" applyAlignment="1">
      <alignment vertical="center"/>
    </xf>
    <xf numFmtId="0" fontId="11" fillId="0" borderId="0" xfId="0" applyFont="1" applyAlignment="1">
      <alignment vertical="center"/>
    </xf>
    <xf numFmtId="166" fontId="7" fillId="3" borderId="12" xfId="0" applyNumberFormat="1" applyFont="1" applyFill="1" applyBorder="1"/>
    <xf numFmtId="0" fontId="23" fillId="0" borderId="0" xfId="0" applyFont="1"/>
    <xf numFmtId="0" fontId="7" fillId="0" borderId="42" xfId="0" applyFont="1" applyBorder="1"/>
    <xf numFmtId="2" fontId="0" fillId="0" borderId="0" xfId="0" applyNumberFormat="1"/>
    <xf numFmtId="0" fontId="23" fillId="0" borderId="0" xfId="0" applyFon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2" fontId="23" fillId="0" borderId="0" xfId="0" applyNumberFormat="1" applyFont="1" applyAlignment="1">
      <alignment horizontal="center"/>
    </xf>
    <xf numFmtId="2" fontId="0" fillId="0" borderId="9" xfId="0" applyNumberFormat="1" applyBorder="1"/>
    <xf numFmtId="2" fontId="0" fillId="0" borderId="10" xfId="0" applyNumberFormat="1" applyBorder="1"/>
    <xf numFmtId="2" fontId="0" fillId="0" borderId="11" xfId="0" applyNumberFormat="1" applyBorder="1"/>
    <xf numFmtId="0" fontId="24" fillId="0" borderId="0" xfId="0" applyFont="1"/>
    <xf numFmtId="0" fontId="6" fillId="0" borderId="0" xfId="0" applyFont="1" applyAlignment="1">
      <alignment horizontal="center"/>
    </xf>
    <xf numFmtId="0" fontId="0" fillId="0" borderId="0" xfId="0" applyAlignment="1">
      <alignment horizontal="center"/>
    </xf>
    <xf numFmtId="0" fontId="6" fillId="0" borderId="0" xfId="0" applyFont="1" applyProtection="1">
      <protection hidden="1"/>
    </xf>
    <xf numFmtId="0" fontId="6" fillId="0" borderId="1" xfId="0" applyFont="1" applyBorder="1"/>
    <xf numFmtId="0" fontId="6" fillId="0" borderId="2" xfId="0" applyFont="1" applyBorder="1"/>
    <xf numFmtId="0" fontId="6" fillId="0" borderId="3" xfId="0" applyFont="1" applyBorder="1"/>
    <xf numFmtId="0" fontId="7" fillId="4" borderId="12" xfId="0" applyFont="1" applyFill="1" applyBorder="1" applyAlignment="1">
      <alignment horizontal="center"/>
    </xf>
    <xf numFmtId="0" fontId="6" fillId="0" borderId="5" xfId="0" applyFont="1" applyBorder="1"/>
    <xf numFmtId="0" fontId="7" fillId="4" borderId="12" xfId="0" applyFont="1" applyFill="1" applyBorder="1" applyAlignment="1">
      <alignment horizontal="center" vertical="top" wrapText="1"/>
    </xf>
    <xf numFmtId="0" fontId="6" fillId="0" borderId="4" xfId="0" applyFont="1" applyBorder="1"/>
    <xf numFmtId="0" fontId="26" fillId="0" borderId="4" xfId="0" applyFont="1" applyBorder="1" applyAlignment="1">
      <alignment horizontal="center"/>
    </xf>
    <xf numFmtId="0" fontId="26" fillId="0" borderId="0" xfId="0" applyFont="1" applyAlignment="1">
      <alignment horizontal="center"/>
    </xf>
    <xf numFmtId="0" fontId="7" fillId="0" borderId="0" xfId="0" applyFont="1" applyAlignment="1">
      <alignment horizontal="center"/>
    </xf>
    <xf numFmtId="0" fontId="6" fillId="4" borderId="12" xfId="0" applyFont="1" applyFill="1" applyBorder="1" applyAlignment="1">
      <alignment horizontal="center"/>
    </xf>
    <xf numFmtId="0" fontId="6" fillId="7" borderId="12" xfId="0" applyFont="1" applyFill="1" applyBorder="1" applyAlignment="1">
      <alignment horizontal="center" vertical="top" wrapText="1"/>
    </xf>
    <xf numFmtId="0" fontId="6" fillId="0" borderId="7" xfId="0" applyFont="1" applyBorder="1"/>
    <xf numFmtId="0" fontId="6" fillId="0" borderId="8" xfId="0" applyFont="1" applyBorder="1"/>
    <xf numFmtId="0" fontId="6" fillId="0" borderId="28" xfId="0" applyFont="1" applyBorder="1" applyAlignment="1">
      <alignment horizontal="center"/>
    </xf>
    <xf numFmtId="0" fontId="26" fillId="0" borderId="20" xfId="0" applyFont="1" applyBorder="1" applyAlignment="1">
      <alignment horizontal="center"/>
    </xf>
    <xf numFmtId="0" fontId="6" fillId="0" borderId="18" xfId="0" applyFont="1" applyBorder="1" applyAlignment="1">
      <alignment horizontal="center"/>
    </xf>
    <xf numFmtId="0" fontId="6" fillId="0" borderId="19" xfId="0" applyFont="1" applyBorder="1" applyAlignment="1">
      <alignment horizontal="center"/>
    </xf>
    <xf numFmtId="0" fontId="26" fillId="0" borderId="29" xfId="0" applyFont="1" applyBorder="1" applyAlignment="1">
      <alignment horizontal="center"/>
    </xf>
    <xf numFmtId="0" fontId="6" fillId="0" borderId="4" xfId="0" applyFont="1" applyBorder="1" applyAlignment="1">
      <alignment horizontal="center"/>
    </xf>
    <xf numFmtId="0" fontId="26" fillId="0" borderId="22" xfId="0" applyFont="1" applyBorder="1" applyAlignment="1">
      <alignment horizontal="center"/>
    </xf>
    <xf numFmtId="0" fontId="6" fillId="0" borderId="21" xfId="0" applyFont="1" applyBorder="1" applyAlignment="1">
      <alignment horizontal="center"/>
    </xf>
    <xf numFmtId="1" fontId="26" fillId="0" borderId="5" xfId="0" applyNumberFormat="1" applyFont="1" applyBorder="1" applyAlignment="1">
      <alignment horizontal="center"/>
    </xf>
    <xf numFmtId="0" fontId="26" fillId="0" borderId="5" xfId="0" applyFont="1" applyBorder="1" applyAlignment="1">
      <alignment horizontal="center"/>
    </xf>
    <xf numFmtId="0" fontId="6" fillId="0" borderId="6" xfId="0" applyFont="1" applyBorder="1" applyAlignment="1">
      <alignment horizontal="center"/>
    </xf>
    <xf numFmtId="0" fontId="26" fillId="0" borderId="30" xfId="0" applyFont="1" applyBorder="1" applyAlignment="1">
      <alignment horizontal="center"/>
    </xf>
    <xf numFmtId="0" fontId="6" fillId="0" borderId="31" xfId="0" applyFont="1" applyBorder="1" applyAlignment="1">
      <alignment horizontal="center"/>
    </xf>
    <xf numFmtId="0" fontId="6" fillId="0" borderId="7" xfId="0" applyFont="1" applyBorder="1" applyAlignment="1">
      <alignment horizontal="center"/>
    </xf>
    <xf numFmtId="0" fontId="26" fillId="0" borderId="8" xfId="0" applyFont="1" applyBorder="1" applyAlignment="1">
      <alignment horizontal="center"/>
    </xf>
    <xf numFmtId="0" fontId="6" fillId="0" borderId="6" xfId="0" applyFont="1" applyBorder="1"/>
    <xf numFmtId="2" fontId="7" fillId="0" borderId="0" xfId="0" applyNumberFormat="1" applyFont="1" applyAlignment="1">
      <alignment horizontal="center"/>
    </xf>
    <xf numFmtId="0" fontId="7" fillId="0" borderId="0" xfId="0" applyFont="1"/>
    <xf numFmtId="0" fontId="6" fillId="4" borderId="16" xfId="0" applyFont="1" applyFill="1" applyBorder="1" applyAlignment="1">
      <alignment horizontal="center"/>
    </xf>
    <xf numFmtId="1" fontId="6" fillId="4" borderId="40" xfId="0" applyNumberFormat="1" applyFont="1" applyFill="1" applyBorder="1" applyAlignment="1">
      <alignment horizontal="center"/>
    </xf>
    <xf numFmtId="2" fontId="7" fillId="7" borderId="16" xfId="0" applyNumberFormat="1" applyFont="1" applyFill="1" applyBorder="1" applyAlignment="1">
      <alignment horizontal="center"/>
    </xf>
    <xf numFmtId="0" fontId="6" fillId="4" borderId="41" xfId="0" applyFont="1" applyFill="1" applyBorder="1" applyAlignment="1">
      <alignment horizontal="center"/>
    </xf>
    <xf numFmtId="2" fontId="6" fillId="7" borderId="16" xfId="0" applyNumberFormat="1" applyFont="1" applyFill="1" applyBorder="1"/>
    <xf numFmtId="0" fontId="6" fillId="0" borderId="22" xfId="0" applyFont="1" applyBorder="1"/>
    <xf numFmtId="0" fontId="6" fillId="7" borderId="16" xfId="0" applyFont="1" applyFill="1" applyBorder="1"/>
    <xf numFmtId="0" fontId="29" fillId="0" borderId="0" xfId="0" applyFont="1"/>
    <xf numFmtId="49" fontId="6" fillId="0" borderId="0" xfId="0" applyNumberFormat="1" applyFont="1" applyAlignment="1">
      <alignment horizontal="left"/>
    </xf>
    <xf numFmtId="2" fontId="6" fillId="0" borderId="0" xfId="0" applyNumberFormat="1" applyFont="1"/>
    <xf numFmtId="165" fontId="7" fillId="7" borderId="16" xfId="0" applyNumberFormat="1" applyFont="1" applyFill="1" applyBorder="1" applyAlignment="1">
      <alignment horizontal="center"/>
    </xf>
    <xf numFmtId="0" fontId="28" fillId="0" borderId="0" xfId="0" applyFont="1"/>
    <xf numFmtId="0" fontId="30" fillId="0" borderId="0" xfId="0" applyFont="1"/>
    <xf numFmtId="2" fontId="7" fillId="3" borderId="12" xfId="0" applyNumberFormat="1" applyFont="1" applyFill="1" applyBorder="1" applyAlignment="1">
      <alignment horizontal="center"/>
    </xf>
    <xf numFmtId="0" fontId="6" fillId="0" borderId="0" xfId="0" applyFont="1" applyAlignment="1">
      <alignment horizontal="left" vertical="top" wrapText="1"/>
    </xf>
    <xf numFmtId="49" fontId="6" fillId="0" borderId="0" xfId="0" applyNumberFormat="1" applyFont="1" applyAlignment="1">
      <alignment horizontal="center"/>
    </xf>
    <xf numFmtId="0" fontId="32" fillId="0" borderId="0" xfId="0" applyFont="1"/>
    <xf numFmtId="166" fontId="7" fillId="0" borderId="0" xfId="0" applyNumberFormat="1" applyFont="1" applyAlignment="1">
      <alignment horizontal="center"/>
    </xf>
    <xf numFmtId="0" fontId="6" fillId="4" borderId="17" xfId="0" applyFont="1" applyFill="1" applyBorder="1" applyAlignment="1">
      <alignment horizontal="center"/>
    </xf>
    <xf numFmtId="1" fontId="6" fillId="4" borderId="17" xfId="0" applyNumberFormat="1" applyFont="1" applyFill="1" applyBorder="1" applyAlignment="1">
      <alignment horizontal="center"/>
    </xf>
    <xf numFmtId="2" fontId="6" fillId="7" borderId="17" xfId="0" applyNumberFormat="1" applyFont="1" applyFill="1" applyBorder="1" applyAlignment="1">
      <alignment horizontal="center"/>
    </xf>
    <xf numFmtId="1" fontId="7" fillId="3" borderId="34" xfId="0" applyNumberFormat="1" applyFont="1" applyFill="1" applyBorder="1" applyAlignment="1">
      <alignment horizontal="center"/>
    </xf>
    <xf numFmtId="1" fontId="7" fillId="3" borderId="35" xfId="0" applyNumberFormat="1" applyFont="1" applyFill="1" applyBorder="1" applyAlignment="1">
      <alignment horizontal="center"/>
    </xf>
    <xf numFmtId="0" fontId="7" fillId="7" borderId="25" xfId="0" applyFont="1" applyFill="1" applyBorder="1" applyAlignment="1">
      <alignment horizontal="center"/>
    </xf>
    <xf numFmtId="0" fontId="7" fillId="7" borderId="27" xfId="0" applyFont="1" applyFill="1" applyBorder="1" applyAlignment="1">
      <alignment horizontal="center"/>
    </xf>
    <xf numFmtId="2" fontId="7" fillId="7" borderId="27" xfId="0" applyNumberFormat="1" applyFont="1" applyFill="1" applyBorder="1" applyAlignment="1">
      <alignment horizontal="center"/>
    </xf>
    <xf numFmtId="2" fontId="7" fillId="7" borderId="37" xfId="0" applyNumberFormat="1" applyFont="1" applyFill="1" applyBorder="1" applyAlignment="1">
      <alignment horizontal="center"/>
    </xf>
    <xf numFmtId="0" fontId="6" fillId="0" borderId="0" xfId="0" applyFont="1" applyAlignment="1">
      <alignment vertical="top"/>
    </xf>
    <xf numFmtId="0" fontId="6" fillId="0" borderId="0" xfId="0" applyFont="1" applyAlignment="1">
      <alignment horizontal="left"/>
    </xf>
    <xf numFmtId="164" fontId="7" fillId="0" borderId="0" xfId="0" applyNumberFormat="1" applyFont="1"/>
    <xf numFmtId="0" fontId="33" fillId="0" borderId="0" xfId="0" applyFont="1" applyAlignment="1">
      <alignment horizontal="center"/>
    </xf>
    <xf numFmtId="2" fontId="6" fillId="0" borderId="0" xfId="0" applyNumberFormat="1" applyFont="1" applyAlignment="1">
      <alignment horizontal="left"/>
    </xf>
    <xf numFmtId="0" fontId="34" fillId="0" borderId="0" xfId="0" applyFont="1"/>
    <xf numFmtId="0" fontId="33" fillId="0" borderId="0" xfId="0" applyFont="1"/>
    <xf numFmtId="166" fontId="6" fillId="7" borderId="41" xfId="0" applyNumberFormat="1" applyFont="1" applyFill="1" applyBorder="1" applyAlignment="1">
      <alignment horizontal="center"/>
    </xf>
    <xf numFmtId="166" fontId="6" fillId="7" borderId="16" xfId="0" applyNumberFormat="1" applyFont="1" applyFill="1" applyBorder="1" applyAlignment="1">
      <alignment horizontal="center"/>
    </xf>
    <xf numFmtId="0" fontId="6" fillId="0" borderId="43" xfId="0" applyFont="1" applyBorder="1"/>
    <xf numFmtId="0" fontId="6" fillId="0" borderId="44" xfId="0" applyFont="1" applyBorder="1"/>
    <xf numFmtId="2" fontId="6" fillId="0" borderId="45" xfId="0" applyNumberFormat="1" applyFont="1" applyBorder="1"/>
    <xf numFmtId="0" fontId="6" fillId="7" borderId="49" xfId="0" applyFont="1" applyFill="1" applyBorder="1" applyAlignment="1">
      <alignment horizontal="center"/>
    </xf>
    <xf numFmtId="0" fontId="6" fillId="7" borderId="50" xfId="0" applyFont="1" applyFill="1" applyBorder="1" applyAlignment="1">
      <alignment horizontal="left"/>
    </xf>
    <xf numFmtId="0" fontId="6" fillId="0" borderId="46" xfId="0" applyFont="1" applyBorder="1"/>
    <xf numFmtId="0" fontId="6" fillId="0" borderId="47" xfId="0" applyFont="1" applyBorder="1"/>
    <xf numFmtId="2" fontId="6" fillId="0" borderId="48" xfId="0" applyNumberFormat="1" applyFont="1" applyBorder="1"/>
    <xf numFmtId="0" fontId="7" fillId="0" borderId="1" xfId="0" applyFont="1" applyBorder="1"/>
    <xf numFmtId="0" fontId="7" fillId="0" borderId="3" xfId="0" applyFont="1" applyBorder="1"/>
    <xf numFmtId="0" fontId="7" fillId="0" borderId="4" xfId="0" applyFont="1" applyBorder="1"/>
    <xf numFmtId="2" fontId="7" fillId="4" borderId="16" xfId="0" applyNumberFormat="1" applyFont="1" applyFill="1" applyBorder="1"/>
    <xf numFmtId="0" fontId="7" fillId="0" borderId="5" xfId="0" applyFont="1" applyBorder="1"/>
    <xf numFmtId="0" fontId="7" fillId="0" borderId="6" xfId="0" applyFont="1" applyBorder="1"/>
    <xf numFmtId="164" fontId="7" fillId="4" borderId="33" xfId="0" applyNumberFormat="1" applyFont="1" applyFill="1" applyBorder="1"/>
    <xf numFmtId="2" fontId="6" fillId="0" borderId="8" xfId="0" applyNumberFormat="1" applyFont="1" applyBorder="1"/>
    <xf numFmtId="2" fontId="6" fillId="7" borderId="13" xfId="0" applyNumberFormat="1" applyFont="1" applyFill="1" applyBorder="1"/>
    <xf numFmtId="0" fontId="6" fillId="0" borderId="0" xfId="0" applyFont="1" applyAlignment="1">
      <alignment vertical="center"/>
    </xf>
    <xf numFmtId="2" fontId="6" fillId="7" borderId="14" xfId="0" applyNumberFormat="1" applyFont="1" applyFill="1" applyBorder="1"/>
    <xf numFmtId="164" fontId="6" fillId="7" borderId="14" xfId="0" applyNumberFormat="1" applyFont="1" applyFill="1" applyBorder="1"/>
    <xf numFmtId="164" fontId="6" fillId="7" borderId="15" xfId="0" applyNumberFormat="1" applyFont="1" applyFill="1" applyBorder="1"/>
    <xf numFmtId="164" fontId="6" fillId="7" borderId="15" xfId="0" applyNumberFormat="1" applyFont="1" applyFill="1" applyBorder="1" applyAlignment="1">
      <alignment horizontal="center" vertical="center"/>
    </xf>
    <xf numFmtId="0" fontId="34" fillId="0" borderId="0" xfId="0" applyFont="1" applyAlignment="1">
      <alignment horizontal="center"/>
    </xf>
    <xf numFmtId="164" fontId="34" fillId="0" borderId="0" xfId="0" applyNumberFormat="1" applyFont="1" applyAlignment="1">
      <alignment horizontal="center"/>
    </xf>
    <xf numFmtId="164" fontId="34" fillId="0" borderId="0" xfId="0" applyNumberFormat="1" applyFont="1" applyAlignment="1">
      <alignment horizontal="left"/>
    </xf>
    <xf numFmtId="2" fontId="7" fillId="3" borderId="12" xfId="0" applyNumberFormat="1" applyFont="1" applyFill="1" applyBorder="1"/>
    <xf numFmtId="10" fontId="18" fillId="0" borderId="0" xfId="0" applyNumberFormat="1" applyFont="1"/>
    <xf numFmtId="164" fontId="6" fillId="0" borderId="0" xfId="0" applyNumberFormat="1" applyFont="1" applyAlignment="1">
      <alignment horizontal="center"/>
    </xf>
    <xf numFmtId="10" fontId="6" fillId="0" borderId="0" xfId="0" applyNumberFormat="1" applyFont="1" applyAlignment="1">
      <alignment horizontal="center"/>
    </xf>
    <xf numFmtId="164" fontId="6" fillId="0" borderId="0" xfId="0" applyNumberFormat="1" applyFont="1"/>
    <xf numFmtId="0" fontId="6" fillId="0" borderId="0" xfId="0" applyFont="1" applyAlignment="1">
      <alignment horizontal="left" vertical="center"/>
    </xf>
    <xf numFmtId="0" fontId="38" fillId="0" borderId="0" xfId="0" applyFont="1" applyAlignment="1">
      <alignment vertical="center"/>
    </xf>
    <xf numFmtId="0" fontId="6" fillId="4" borderId="16" xfId="0" applyFont="1" applyFill="1" applyBorder="1"/>
    <xf numFmtId="2" fontId="6" fillId="7" borderId="12" xfId="0" applyNumberFormat="1" applyFont="1" applyFill="1" applyBorder="1"/>
    <xf numFmtId="2" fontId="6" fillId="3" borderId="12" xfId="0" applyNumberFormat="1" applyFont="1" applyFill="1" applyBorder="1"/>
    <xf numFmtId="2" fontId="7" fillId="3" borderId="42" xfId="0" applyNumberFormat="1" applyFont="1" applyFill="1" applyBorder="1" applyAlignment="1">
      <alignment horizontal="center"/>
    </xf>
    <xf numFmtId="0" fontId="6" fillId="0" borderId="42" xfId="0" applyFont="1" applyBorder="1"/>
    <xf numFmtId="0" fontId="7" fillId="0" borderId="0" xfId="0" applyFont="1" applyAlignment="1">
      <alignment horizontal="left"/>
    </xf>
    <xf numFmtId="2" fontId="39" fillId="0" borderId="0" xfId="0" applyNumberFormat="1" applyFont="1" applyAlignment="1">
      <alignment horizontal="left"/>
    </xf>
    <xf numFmtId="0" fontId="0" fillId="0" borderId="22" xfId="0" applyBorder="1" applyAlignment="1">
      <alignment horizontal="center"/>
    </xf>
    <xf numFmtId="0" fontId="0" fillId="0" borderId="22" xfId="0" applyBorder="1"/>
    <xf numFmtId="0" fontId="0" fillId="0" borderId="1" xfId="0" applyBorder="1"/>
    <xf numFmtId="0" fontId="0" fillId="0" borderId="3" xfId="0" applyBorder="1"/>
    <xf numFmtId="0" fontId="0" fillId="0" borderId="5" xfId="0" applyBorder="1"/>
    <xf numFmtId="0" fontId="0" fillId="0" borderId="51" xfId="0" applyBorder="1"/>
    <xf numFmtId="0" fontId="23" fillId="0" borderId="32" xfId="0" applyFont="1" applyBorder="1"/>
    <xf numFmtId="2" fontId="0" fillId="0" borderId="52" xfId="0" applyNumberFormat="1" applyBorder="1"/>
    <xf numFmtId="2" fontId="0" fillId="0" borderId="51" xfId="0" applyNumberFormat="1" applyBorder="1"/>
    <xf numFmtId="0" fontId="23" fillId="3" borderId="8" xfId="0" applyFont="1" applyFill="1" applyBorder="1"/>
    <xf numFmtId="2" fontId="43" fillId="3" borderId="6" xfId="0" applyNumberFormat="1" applyFont="1" applyFill="1" applyBorder="1"/>
    <xf numFmtId="0" fontId="0" fillId="0" borderId="2" xfId="0" applyBorder="1"/>
    <xf numFmtId="0" fontId="23" fillId="0" borderId="2" xfId="0" applyFont="1" applyBorder="1"/>
    <xf numFmtId="0" fontId="23" fillId="0" borderId="3" xfId="0" applyFont="1" applyBorder="1"/>
    <xf numFmtId="2" fontId="0" fillId="0" borderId="4" xfId="0" applyNumberFormat="1" applyBorder="1"/>
    <xf numFmtId="0" fontId="44" fillId="0" borderId="0" xfId="0" applyFont="1"/>
    <xf numFmtId="0" fontId="0" fillId="0" borderId="4" xfId="0" applyBorder="1"/>
    <xf numFmtId="0" fontId="0" fillId="0" borderId="6" xfId="0" applyBorder="1"/>
    <xf numFmtId="0" fontId="0" fillId="0" borderId="7" xfId="0" applyBorder="1"/>
    <xf numFmtId="0" fontId="0" fillId="0" borderId="8" xfId="0" applyBorder="1"/>
    <xf numFmtId="164" fontId="0" fillId="3" borderId="7" xfId="0" applyNumberFormat="1" applyFill="1" applyBorder="1"/>
    <xf numFmtId="164" fontId="0" fillId="0" borderId="0" xfId="0" applyNumberFormat="1"/>
    <xf numFmtId="164" fontId="23" fillId="0" borderId="0" xfId="0" applyNumberFormat="1" applyFont="1"/>
    <xf numFmtId="167" fontId="0" fillId="0" borderId="0" xfId="0" applyNumberFormat="1"/>
    <xf numFmtId="167" fontId="0" fillId="0" borderId="0" xfId="0" applyNumberFormat="1" applyAlignment="1">
      <alignment horizontal="center"/>
    </xf>
    <xf numFmtId="0" fontId="45" fillId="0" borderId="9" xfId="0" applyFont="1" applyBorder="1" applyAlignment="1">
      <alignment horizontal="center"/>
    </xf>
    <xf numFmtId="0" fontId="45" fillId="0" borderId="10" xfId="0" applyFont="1" applyBorder="1" applyAlignment="1">
      <alignment horizontal="center"/>
    </xf>
    <xf numFmtId="0" fontId="45" fillId="0" borderId="11" xfId="0" applyFont="1" applyBorder="1" applyAlignment="1">
      <alignment horizontal="center"/>
    </xf>
    <xf numFmtId="0" fontId="23" fillId="0" borderId="22" xfId="0" applyFont="1" applyBorder="1" applyAlignment="1">
      <alignment horizontal="center"/>
    </xf>
    <xf numFmtId="168" fontId="5" fillId="0" borderId="0" xfId="0" applyNumberFormat="1" applyFont="1"/>
    <xf numFmtId="2" fontId="7" fillId="3" borderId="13" xfId="0" applyNumberFormat="1" applyFont="1" applyFill="1" applyBorder="1" applyAlignment="1">
      <alignment horizontal="center"/>
    </xf>
    <xf numFmtId="2" fontId="7" fillId="3" borderId="14" xfId="0" applyNumberFormat="1" applyFont="1" applyFill="1" applyBorder="1" applyAlignment="1">
      <alignment horizontal="center"/>
    </xf>
    <xf numFmtId="164" fontId="7" fillId="3" borderId="15" xfId="0" applyNumberFormat="1" applyFont="1" applyFill="1" applyBorder="1" applyAlignment="1">
      <alignment horizontal="center"/>
    </xf>
    <xf numFmtId="2" fontId="7" fillId="7" borderId="13" xfId="0" applyNumberFormat="1" applyFont="1" applyFill="1" applyBorder="1" applyAlignment="1">
      <alignment horizontal="center"/>
    </xf>
    <xf numFmtId="164" fontId="6" fillId="7" borderId="16" xfId="0" applyNumberFormat="1" applyFont="1" applyFill="1" applyBorder="1"/>
    <xf numFmtId="2" fontId="7" fillId="8" borderId="16" xfId="0" applyNumberFormat="1" applyFont="1" applyFill="1" applyBorder="1"/>
    <xf numFmtId="164" fontId="6" fillId="7" borderId="16" xfId="0" applyNumberFormat="1" applyFont="1" applyFill="1" applyBorder="1" applyAlignment="1">
      <alignment horizontal="right"/>
    </xf>
    <xf numFmtId="2" fontId="7" fillId="8" borderId="17" xfId="0" applyNumberFormat="1" applyFont="1" applyFill="1" applyBorder="1"/>
    <xf numFmtId="10" fontId="18" fillId="8" borderId="41" xfId="0" applyNumberFormat="1" applyFont="1" applyFill="1" applyBorder="1"/>
    <xf numFmtId="166" fontId="6" fillId="8" borderId="17" xfId="0" applyNumberFormat="1" applyFont="1" applyFill="1" applyBorder="1"/>
    <xf numFmtId="2" fontId="45" fillId="9" borderId="12" xfId="0" applyNumberFormat="1" applyFont="1" applyFill="1" applyBorder="1"/>
    <xf numFmtId="2" fontId="7" fillId="3" borderId="10" xfId="0" applyNumberFormat="1" applyFont="1" applyFill="1" applyBorder="1"/>
    <xf numFmtId="2" fontId="7" fillId="3" borderId="7" xfId="0" applyNumberFormat="1" applyFont="1" applyFill="1" applyBorder="1"/>
    <xf numFmtId="0" fontId="45" fillId="0" borderId="0" xfId="0" applyFont="1"/>
    <xf numFmtId="0" fontId="45" fillId="0" borderId="0" xfId="0" applyFont="1" applyAlignment="1">
      <alignment horizontal="center"/>
    </xf>
    <xf numFmtId="0" fontId="0" fillId="0" borderId="44" xfId="0" applyBorder="1"/>
    <xf numFmtId="0" fontId="23" fillId="0" borderId="0" xfId="0" applyFont="1" applyAlignment="1">
      <alignment horizontal="left"/>
    </xf>
    <xf numFmtId="2" fontId="42" fillId="0" borderId="4" xfId="0" applyNumberFormat="1" applyFont="1" applyBorder="1"/>
    <xf numFmtId="0" fontId="23" fillId="4" borderId="0" xfId="0" applyFont="1" applyFill="1" applyAlignment="1">
      <alignment horizontal="center"/>
    </xf>
    <xf numFmtId="0" fontId="1" fillId="0" borderId="0" xfId="0" applyFont="1" applyAlignment="1">
      <alignment horizontal="center"/>
    </xf>
    <xf numFmtId="164" fontId="23" fillId="0" borderId="0" xfId="0" applyNumberFormat="1" applyFont="1" applyAlignment="1">
      <alignment horizontal="center"/>
    </xf>
    <xf numFmtId="0" fontId="47" fillId="0" borderId="0" xfId="0" applyFont="1" applyAlignment="1">
      <alignment horizontal="center"/>
    </xf>
    <xf numFmtId="2" fontId="48" fillId="0" borderId="0" xfId="0" applyNumberFormat="1" applyFont="1" applyAlignment="1">
      <alignment horizontal="center"/>
    </xf>
    <xf numFmtId="2" fontId="49" fillId="0" borderId="0" xfId="0" applyNumberFormat="1" applyFont="1" applyAlignment="1">
      <alignment horizontal="center"/>
    </xf>
    <xf numFmtId="0" fontId="48" fillId="0" borderId="0" xfId="0" applyFont="1" applyAlignment="1">
      <alignment horizontal="center"/>
    </xf>
    <xf numFmtId="0" fontId="49" fillId="0" borderId="0" xfId="0" applyFont="1" applyAlignment="1">
      <alignment horizontal="right"/>
    </xf>
    <xf numFmtId="1" fontId="7" fillId="3" borderId="10" xfId="0" applyNumberFormat="1" applyFont="1" applyFill="1" applyBorder="1"/>
    <xf numFmtId="1" fontId="7" fillId="3" borderId="7" xfId="0" applyNumberFormat="1" applyFont="1" applyFill="1" applyBorder="1"/>
    <xf numFmtId="0" fontId="6" fillId="8" borderId="11" xfId="0" applyFont="1" applyFill="1" applyBorder="1" applyAlignment="1">
      <alignment horizontal="center"/>
    </xf>
    <xf numFmtId="0" fontId="6" fillId="8" borderId="8" xfId="0" applyFont="1" applyFill="1" applyBorder="1" applyAlignment="1">
      <alignment horizontal="center"/>
    </xf>
    <xf numFmtId="0" fontId="6" fillId="8" borderId="8" xfId="0" applyFont="1" applyFill="1" applyBorder="1" applyAlignment="1">
      <alignment vertical="center"/>
    </xf>
    <xf numFmtId="0" fontId="6" fillId="8" borderId="11" xfId="0" applyFont="1" applyFill="1" applyBorder="1" applyAlignment="1">
      <alignment vertical="center"/>
    </xf>
    <xf numFmtId="10" fontId="7" fillId="7" borderId="16" xfId="2" applyNumberFormat="1" applyFont="1" applyFill="1" applyBorder="1"/>
    <xf numFmtId="0" fontId="18" fillId="0" borderId="0" xfId="0" applyFont="1" applyAlignment="1" applyProtection="1">
      <alignment horizontal="left"/>
      <protection hidden="1"/>
    </xf>
    <xf numFmtId="0" fontId="50" fillId="0" borderId="0" xfId="0" applyFont="1"/>
    <xf numFmtId="164" fontId="50" fillId="0" borderId="0" xfId="0" applyNumberFormat="1" applyFont="1"/>
    <xf numFmtId="2" fontId="50" fillId="0" borderId="0" xfId="0" applyNumberFormat="1" applyFont="1"/>
    <xf numFmtId="10" fontId="0" fillId="0" borderId="0" xfId="0" applyNumberFormat="1"/>
    <xf numFmtId="2" fontId="7" fillId="4" borderId="24" xfId="0" applyNumberFormat="1" applyFont="1" applyFill="1" applyBorder="1"/>
    <xf numFmtId="0" fontId="19" fillId="0" borderId="0" xfId="1" applyFont="1" applyBorder="1" applyAlignment="1" applyProtection="1">
      <alignment horizontal="left"/>
      <protection locked="0" hidden="1"/>
    </xf>
    <xf numFmtId="0" fontId="6" fillId="0" borderId="0" xfId="0" applyFont="1" applyAlignment="1">
      <alignment horizontal="center"/>
    </xf>
    <xf numFmtId="0" fontId="0" fillId="0" borderId="0" xfId="0" applyAlignment="1">
      <alignment horizontal="center"/>
    </xf>
    <xf numFmtId="0" fontId="8" fillId="0" borderId="0" xfId="0" applyFont="1" applyAlignment="1">
      <alignment horizontal="center"/>
    </xf>
    <xf numFmtId="0" fontId="10" fillId="0" borderId="1" xfId="0" applyFont="1" applyBorder="1" applyAlignment="1" applyProtection="1">
      <alignment horizontal="left"/>
      <protection hidden="1"/>
    </xf>
    <xf numFmtId="0" fontId="10" fillId="0" borderId="2" xfId="0" applyFont="1" applyBorder="1" applyAlignment="1" applyProtection="1">
      <alignment horizontal="left"/>
      <protection hidden="1"/>
    </xf>
    <xf numFmtId="0" fontId="10" fillId="0" borderId="3" xfId="0" applyFont="1" applyBorder="1" applyAlignment="1" applyProtection="1">
      <alignment horizontal="left"/>
      <protection hidden="1"/>
    </xf>
    <xf numFmtId="0" fontId="18" fillId="0" borderId="4" xfId="0" applyFont="1" applyBorder="1" applyAlignment="1" applyProtection="1">
      <alignment horizontal="left"/>
      <protection hidden="1"/>
    </xf>
    <xf numFmtId="0" fontId="18" fillId="0" borderId="0" xfId="0" applyFont="1" applyAlignment="1" applyProtection="1">
      <alignment horizontal="left"/>
      <protection hidden="1"/>
    </xf>
    <xf numFmtId="0" fontId="18" fillId="0" borderId="5" xfId="0" applyFont="1" applyBorder="1" applyAlignment="1" applyProtection="1">
      <alignment horizontal="left"/>
      <protection hidden="1"/>
    </xf>
    <xf numFmtId="0" fontId="18" fillId="0" borderId="6" xfId="0" applyFont="1" applyBorder="1" applyAlignment="1" applyProtection="1">
      <alignment horizontal="left"/>
      <protection hidden="1"/>
    </xf>
    <xf numFmtId="0" fontId="18" fillId="0" borderId="7" xfId="0" applyFont="1" applyBorder="1" applyAlignment="1" applyProtection="1">
      <alignment horizontal="left"/>
      <protection hidden="1"/>
    </xf>
    <xf numFmtId="0" fontId="18" fillId="0" borderId="8" xfId="0" applyFont="1" applyBorder="1" applyAlignment="1" applyProtection="1">
      <alignment horizontal="left"/>
      <protection hidden="1"/>
    </xf>
    <xf numFmtId="166" fontId="6" fillId="7" borderId="49" xfId="0" applyNumberFormat="1" applyFont="1" applyFill="1" applyBorder="1" applyAlignment="1">
      <alignment horizontal="center"/>
    </xf>
    <xf numFmtId="166" fontId="6" fillId="7" borderId="50" xfId="0" applyNumberFormat="1" applyFont="1" applyFill="1" applyBorder="1" applyAlignment="1">
      <alignment horizontal="center"/>
    </xf>
    <xf numFmtId="166" fontId="6" fillId="3" borderId="9" xfId="0" applyNumberFormat="1" applyFont="1" applyFill="1" applyBorder="1" applyAlignment="1">
      <alignment horizontal="center"/>
    </xf>
    <xf numFmtId="166" fontId="6" fillId="3" borderId="11" xfId="0" applyNumberFormat="1" applyFont="1" applyFill="1" applyBorder="1" applyAlignment="1">
      <alignment horizontal="center"/>
    </xf>
    <xf numFmtId="0" fontId="7" fillId="5" borderId="1" xfId="0" applyFont="1" applyFill="1" applyBorder="1" applyAlignment="1">
      <alignment horizontal="left" vertical="top" wrapText="1"/>
    </xf>
    <xf numFmtId="0" fontId="7" fillId="5" borderId="2" xfId="0" applyFont="1" applyFill="1" applyBorder="1" applyAlignment="1">
      <alignment horizontal="left" vertical="top" wrapText="1"/>
    </xf>
    <xf numFmtId="0" fontId="7" fillId="5" borderId="3" xfId="0" applyFont="1" applyFill="1" applyBorder="1" applyAlignment="1">
      <alignment horizontal="left" vertical="top" wrapText="1"/>
    </xf>
    <xf numFmtId="0" fontId="7" fillId="5" borderId="4" xfId="0" applyFont="1" applyFill="1" applyBorder="1" applyAlignment="1">
      <alignment horizontal="left" vertical="top" wrapText="1"/>
    </xf>
    <xf numFmtId="0" fontId="7" fillId="5" borderId="0" xfId="0" applyFont="1" applyFill="1" applyAlignment="1">
      <alignment horizontal="left" vertical="top" wrapText="1"/>
    </xf>
    <xf numFmtId="0" fontId="7" fillId="5" borderId="5" xfId="0" applyFont="1" applyFill="1" applyBorder="1" applyAlignment="1">
      <alignment horizontal="left" vertical="top" wrapText="1"/>
    </xf>
    <xf numFmtId="0" fontId="7" fillId="5" borderId="6" xfId="0" applyFont="1" applyFill="1" applyBorder="1" applyAlignment="1">
      <alignment horizontal="left" vertical="top" wrapText="1"/>
    </xf>
    <xf numFmtId="0" fontId="7" fillId="5" borderId="7" xfId="0" applyFont="1" applyFill="1" applyBorder="1" applyAlignment="1">
      <alignment horizontal="left" vertical="top" wrapText="1"/>
    </xf>
    <xf numFmtId="0" fontId="7" fillId="5" borderId="8" xfId="0" applyFont="1" applyFill="1" applyBorder="1" applyAlignment="1">
      <alignment horizontal="left" vertical="top" wrapText="1"/>
    </xf>
    <xf numFmtId="0" fontId="6" fillId="0" borderId="4" xfId="0" applyFont="1" applyBorder="1" applyAlignment="1">
      <alignment horizontal="right" vertical="top" wrapText="1"/>
    </xf>
    <xf numFmtId="0" fontId="6" fillId="0" borderId="0" xfId="0" applyFont="1" applyAlignment="1">
      <alignment horizontal="right" vertical="top" wrapText="1"/>
    </xf>
    <xf numFmtId="0" fontId="6" fillId="0" borderId="4" xfId="0" applyFont="1" applyBorder="1" applyAlignment="1">
      <alignment horizontal="center"/>
    </xf>
    <xf numFmtId="0" fontId="6" fillId="0" borderId="5" xfId="0" applyFont="1" applyBorder="1" applyAlignment="1">
      <alignment horizontal="center"/>
    </xf>
    <xf numFmtId="0" fontId="6" fillId="0" borderId="0" xfId="0" applyFont="1" applyAlignment="1">
      <alignment horizontal="left" vertical="top" wrapText="1"/>
    </xf>
    <xf numFmtId="0" fontId="7" fillId="7" borderId="16" xfId="0" applyFont="1" applyFill="1" applyBorder="1" applyAlignment="1">
      <alignment horizontal="center"/>
    </xf>
    <xf numFmtId="166" fontId="7" fillId="7" borderId="16" xfId="0" applyNumberFormat="1" applyFont="1" applyFill="1" applyBorder="1" applyAlignment="1">
      <alignment horizontal="center"/>
    </xf>
    <xf numFmtId="0" fontId="6" fillId="5" borderId="26" xfId="0" applyFont="1" applyFill="1" applyBorder="1" applyAlignment="1">
      <alignment horizontal="left" vertical="top" wrapText="1"/>
    </xf>
    <xf numFmtId="0" fontId="6" fillId="5" borderId="16" xfId="0" applyFont="1" applyFill="1" applyBorder="1" applyAlignment="1">
      <alignment horizontal="left" vertical="top" wrapText="1"/>
    </xf>
    <xf numFmtId="0" fontId="6" fillId="5" borderId="38" xfId="0" applyFont="1" applyFill="1" applyBorder="1" applyAlignment="1">
      <alignment horizontal="left" vertical="top" wrapText="1"/>
    </xf>
    <xf numFmtId="0" fontId="6" fillId="5" borderId="36" xfId="0" applyFont="1" applyFill="1" applyBorder="1" applyAlignment="1">
      <alignment horizontal="left" vertical="top" wrapText="1"/>
    </xf>
    <xf numFmtId="0" fontId="6" fillId="5" borderId="33" xfId="0" applyFont="1" applyFill="1" applyBorder="1" applyAlignment="1">
      <alignment horizontal="left" vertical="top" wrapText="1"/>
    </xf>
    <xf numFmtId="0" fontId="6" fillId="5" borderId="39" xfId="0" applyFont="1" applyFill="1" applyBorder="1" applyAlignment="1">
      <alignment horizontal="left" vertical="top" wrapText="1"/>
    </xf>
    <xf numFmtId="0" fontId="6" fillId="5" borderId="23" xfId="0" applyFont="1" applyFill="1" applyBorder="1" applyAlignment="1">
      <alignment horizontal="left" vertical="top" wrapText="1"/>
    </xf>
    <xf numFmtId="0" fontId="6" fillId="5" borderId="24" xfId="0" applyFont="1" applyFill="1" applyBorder="1" applyAlignment="1">
      <alignment horizontal="left" vertical="top" wrapText="1"/>
    </xf>
    <xf numFmtId="0" fontId="6" fillId="5" borderId="18" xfId="0" applyFont="1" applyFill="1" applyBorder="1" applyAlignment="1">
      <alignment horizontal="left" vertical="top" wrapText="1"/>
    </xf>
    <xf numFmtId="0" fontId="6" fillId="0" borderId="21"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6" fillId="0" borderId="6" xfId="0" applyFont="1" applyBorder="1" applyAlignment="1">
      <alignment horizontal="center"/>
    </xf>
    <xf numFmtId="0" fontId="6" fillId="0" borderId="7" xfId="0" applyFont="1" applyBorder="1" applyAlignment="1">
      <alignment horizontal="center"/>
    </xf>
    <xf numFmtId="0" fontId="11" fillId="6" borderId="1" xfId="0" applyFont="1" applyFill="1" applyBorder="1" applyAlignment="1">
      <alignment horizontal="center"/>
    </xf>
    <xf numFmtId="0" fontId="11" fillId="6" borderId="2" xfId="0" applyFont="1" applyFill="1" applyBorder="1" applyAlignment="1">
      <alignment horizontal="center"/>
    </xf>
    <xf numFmtId="0" fontId="11" fillId="6" borderId="3" xfId="0" applyFont="1" applyFill="1" applyBorder="1" applyAlignment="1">
      <alignment horizontal="center"/>
    </xf>
    <xf numFmtId="0" fontId="11" fillId="6" borderId="6" xfId="0" applyFont="1" applyFill="1" applyBorder="1" applyAlignment="1">
      <alignment horizontal="center"/>
    </xf>
    <xf numFmtId="0" fontId="11" fillId="6" borderId="7" xfId="0" applyFont="1" applyFill="1" applyBorder="1" applyAlignment="1">
      <alignment horizontal="center"/>
    </xf>
    <xf numFmtId="0" fontId="11" fillId="6" borderId="8" xfId="0" applyFont="1" applyFill="1" applyBorder="1" applyAlignment="1">
      <alignment horizontal="center"/>
    </xf>
    <xf numFmtId="0" fontId="7" fillId="3" borderId="34" xfId="0" applyFont="1" applyFill="1" applyBorder="1" applyAlignment="1">
      <alignment horizontal="center"/>
    </xf>
    <xf numFmtId="0" fontId="7" fillId="3" borderId="35" xfId="0" applyFont="1" applyFill="1" applyBorder="1" applyAlignment="1">
      <alignment horizontal="center"/>
    </xf>
    <xf numFmtId="166" fontId="7" fillId="3" borderId="34" xfId="0" applyNumberFormat="1" applyFont="1" applyFill="1" applyBorder="1" applyAlignment="1">
      <alignment horizontal="center"/>
    </xf>
    <xf numFmtId="166" fontId="7" fillId="3" borderId="35" xfId="0" applyNumberFormat="1" applyFont="1" applyFill="1" applyBorder="1" applyAlignment="1">
      <alignment horizontal="center"/>
    </xf>
    <xf numFmtId="0" fontId="28" fillId="0" borderId="0" xfId="0" applyFont="1" applyAlignment="1">
      <alignment horizontal="center"/>
    </xf>
    <xf numFmtId="2" fontId="6" fillId="0" borderId="21" xfId="0" applyNumberFormat="1" applyFont="1" applyBorder="1" applyAlignment="1">
      <alignment horizontal="center"/>
    </xf>
    <xf numFmtId="2" fontId="6" fillId="0" borderId="0" xfId="0" applyNumberFormat="1" applyFont="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11" fillId="6" borderId="0" xfId="0" applyFont="1" applyFill="1" applyAlignment="1">
      <alignment horizontal="center"/>
    </xf>
    <xf numFmtId="0" fontId="11" fillId="6" borderId="5" xfId="0" applyFont="1" applyFill="1" applyBorder="1" applyAlignment="1">
      <alignment horizontal="center"/>
    </xf>
    <xf numFmtId="0" fontId="7" fillId="0" borderId="1" xfId="0" applyFont="1" applyBorder="1" applyAlignment="1">
      <alignment horizontal="right"/>
    </xf>
    <xf numFmtId="0" fontId="7" fillId="0" borderId="2" xfId="0" applyFont="1" applyBorder="1" applyAlignment="1">
      <alignment horizontal="right"/>
    </xf>
    <xf numFmtId="0" fontId="7" fillId="0" borderId="4" xfId="0" applyFont="1" applyBorder="1" applyAlignment="1">
      <alignment horizontal="right"/>
    </xf>
    <xf numFmtId="0" fontId="7" fillId="0" borderId="0" xfId="0" applyFont="1" applyAlignment="1">
      <alignment horizontal="right"/>
    </xf>
    <xf numFmtId="0" fontId="7" fillId="0" borderId="6" xfId="0" applyFont="1" applyBorder="1" applyAlignment="1">
      <alignment horizontal="right"/>
    </xf>
    <xf numFmtId="0" fontId="7" fillId="0" borderId="7" xfId="0" applyFont="1" applyBorder="1" applyAlignment="1">
      <alignment horizontal="right"/>
    </xf>
    <xf numFmtId="0" fontId="7" fillId="0" borderId="30" xfId="0" applyFont="1" applyBorder="1" applyAlignment="1">
      <alignment horizontal="right"/>
    </xf>
    <xf numFmtId="0" fontId="6" fillId="5" borderId="1" xfId="0" applyFont="1" applyFill="1" applyBorder="1" applyAlignment="1">
      <alignment horizontal="left" vertical="top" wrapText="1"/>
    </xf>
    <xf numFmtId="0" fontId="6" fillId="5" borderId="2" xfId="0" applyFont="1" applyFill="1" applyBorder="1" applyAlignment="1">
      <alignment horizontal="left" vertical="top" wrapText="1"/>
    </xf>
    <xf numFmtId="0" fontId="6" fillId="5" borderId="3" xfId="0" applyFont="1" applyFill="1" applyBorder="1" applyAlignment="1">
      <alignment horizontal="left" vertical="top" wrapText="1"/>
    </xf>
    <xf numFmtId="0" fontId="6" fillId="5" borderId="4" xfId="0" applyFont="1" applyFill="1" applyBorder="1" applyAlignment="1">
      <alignment horizontal="left" vertical="top" wrapText="1"/>
    </xf>
    <xf numFmtId="0" fontId="6" fillId="5" borderId="0" xfId="0" applyFont="1" applyFill="1" applyAlignment="1">
      <alignment horizontal="left" vertical="top" wrapText="1"/>
    </xf>
    <xf numFmtId="0" fontId="6" fillId="5" borderId="5" xfId="0" applyFont="1" applyFill="1" applyBorder="1" applyAlignment="1">
      <alignment horizontal="left" vertical="top" wrapText="1"/>
    </xf>
    <xf numFmtId="0" fontId="6" fillId="5" borderId="6" xfId="0" applyFont="1" applyFill="1" applyBorder="1" applyAlignment="1">
      <alignment horizontal="left" vertical="top" wrapText="1"/>
    </xf>
    <xf numFmtId="0" fontId="6" fillId="5" borderId="7" xfId="0" applyFont="1" applyFill="1" applyBorder="1" applyAlignment="1">
      <alignment horizontal="left" vertical="top" wrapText="1"/>
    </xf>
    <xf numFmtId="0" fontId="6" fillId="5" borderId="8" xfId="0" applyFont="1" applyFill="1" applyBorder="1" applyAlignment="1">
      <alignment horizontal="left" vertical="top" wrapText="1"/>
    </xf>
    <xf numFmtId="0" fontId="7" fillId="0" borderId="0" xfId="0" applyFont="1" applyAlignment="1">
      <alignment horizontal="left"/>
    </xf>
    <xf numFmtId="0" fontId="40" fillId="0" borderId="0" xfId="0" applyFont="1" applyAlignment="1">
      <alignment horizontal="center"/>
    </xf>
    <xf numFmtId="169" fontId="46" fillId="0" borderId="0" xfId="0" applyNumberFormat="1" applyFont="1" applyAlignment="1">
      <alignment horizontal="center" vertical="top"/>
    </xf>
    <xf numFmtId="0" fontId="40" fillId="7" borderId="9" xfId="0" applyFont="1" applyFill="1" applyBorder="1" applyAlignment="1">
      <alignment horizontal="center"/>
    </xf>
    <xf numFmtId="0" fontId="40" fillId="7" borderId="10" xfId="0" applyFont="1" applyFill="1" applyBorder="1" applyAlignment="1">
      <alignment horizontal="center"/>
    </xf>
    <xf numFmtId="0" fontId="40" fillId="7" borderId="11" xfId="0" applyFont="1" applyFill="1" applyBorder="1" applyAlignment="1">
      <alignment horizontal="center"/>
    </xf>
    <xf numFmtId="0" fontId="6" fillId="8" borderId="9" xfId="0" applyFont="1" applyFill="1" applyBorder="1" applyAlignment="1">
      <alignment horizontal="center"/>
    </xf>
    <xf numFmtId="0" fontId="6" fillId="8" borderId="10" xfId="0" applyFont="1" applyFill="1" applyBorder="1" applyAlignment="1">
      <alignment horizontal="center"/>
    </xf>
    <xf numFmtId="0" fontId="6" fillId="8" borderId="6" xfId="0" applyFont="1" applyFill="1" applyBorder="1" applyAlignment="1">
      <alignment horizontal="center"/>
    </xf>
    <xf numFmtId="0" fontId="6" fillId="8" borderId="7" xfId="0" applyFont="1" applyFill="1" applyBorder="1" applyAlignment="1">
      <alignment horizontal="center"/>
    </xf>
    <xf numFmtId="0" fontId="6" fillId="0" borderId="0" xfId="0" applyFont="1" applyAlignment="1">
      <alignment horizontal="right"/>
    </xf>
    <xf numFmtId="0" fontId="6" fillId="0" borderId="22" xfId="0" applyFont="1" applyBorder="1" applyAlignment="1">
      <alignment horizontal="right"/>
    </xf>
    <xf numFmtId="0" fontId="6" fillId="0" borderId="0" xfId="0" applyFont="1" applyAlignment="1">
      <alignment horizontal="left" vertical="center"/>
    </xf>
    <xf numFmtId="0" fontId="6" fillId="0" borderId="0" xfId="0" applyFont="1" applyAlignment="1">
      <alignment horizontal="right" vertical="center"/>
    </xf>
    <xf numFmtId="0" fontId="6" fillId="0" borderId="22" xfId="0" applyFont="1" applyBorder="1" applyAlignment="1">
      <alignment horizontal="right" vertical="center"/>
    </xf>
    <xf numFmtId="0" fontId="7" fillId="0" borderId="0" xfId="0" applyFont="1" applyAlignment="1">
      <alignment horizontal="left" vertical="center"/>
    </xf>
    <xf numFmtId="0" fontId="6" fillId="0" borderId="5" xfId="0" applyFont="1" applyBorder="1" applyAlignment="1">
      <alignment horizontal="left" vertical="center"/>
    </xf>
    <xf numFmtId="0" fontId="41" fillId="0" borderId="0" xfId="0" applyFont="1" applyAlignment="1">
      <alignment horizontal="right" vertical="top"/>
    </xf>
    <xf numFmtId="0" fontId="11" fillId="6" borderId="1" xfId="0" applyFont="1" applyFill="1" applyBorder="1" applyAlignment="1">
      <alignment horizontal="center" vertical="center"/>
    </xf>
    <xf numFmtId="0" fontId="11" fillId="6" borderId="2" xfId="0" applyFont="1" applyFill="1" applyBorder="1" applyAlignment="1">
      <alignment horizontal="center" vertical="center"/>
    </xf>
    <xf numFmtId="0" fontId="11" fillId="6" borderId="3" xfId="0" applyFont="1" applyFill="1" applyBorder="1" applyAlignment="1">
      <alignment horizontal="center" vertical="center"/>
    </xf>
    <xf numFmtId="0" fontId="11" fillId="6" borderId="6"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8" xfId="0" applyFont="1" applyFill="1" applyBorder="1" applyAlignment="1">
      <alignment horizontal="center" vertical="center"/>
    </xf>
    <xf numFmtId="0" fontId="7" fillId="0" borderId="28" xfId="0" applyFont="1" applyBorder="1" applyAlignment="1">
      <alignment horizontal="center"/>
    </xf>
    <xf numFmtId="0" fontId="7" fillId="0" borderId="19" xfId="0" applyFont="1" applyBorder="1" applyAlignment="1">
      <alignment horizontal="center"/>
    </xf>
    <xf numFmtId="0" fontId="7" fillId="0" borderId="29" xfId="0" applyFont="1" applyBorder="1" applyAlignment="1">
      <alignment horizontal="center"/>
    </xf>
    <xf numFmtId="0" fontId="7" fillId="5" borderId="4" xfId="0" applyFont="1" applyFill="1" applyBorder="1" applyAlignment="1">
      <alignment horizontal="left" vertical="center" wrapText="1"/>
    </xf>
    <xf numFmtId="0" fontId="7" fillId="5" borderId="0" xfId="0" applyFont="1" applyFill="1" applyAlignment="1">
      <alignment horizontal="left" vertical="center" wrapText="1"/>
    </xf>
    <xf numFmtId="0" fontId="7" fillId="5" borderId="5"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8" xfId="0" applyFont="1" applyFill="1" applyBorder="1" applyAlignment="1">
      <alignment horizontal="left" vertical="center" wrapText="1"/>
    </xf>
    <xf numFmtId="0" fontId="23" fillId="0" borderId="16" xfId="0" applyFont="1" applyBorder="1" applyAlignment="1">
      <alignment horizontal="center"/>
    </xf>
    <xf numFmtId="0" fontId="0" fillId="0" borderId="16" xfId="0" applyBorder="1" applyAlignment="1">
      <alignment horizontal="center"/>
    </xf>
    <xf numFmtId="0" fontId="45" fillId="0" borderId="16" xfId="0" applyFont="1" applyBorder="1" applyAlignment="1">
      <alignment horizontal="center"/>
    </xf>
    <xf numFmtId="0" fontId="45" fillId="0" borderId="0" xfId="0" applyFont="1" applyAlignment="1">
      <alignment horizontal="center"/>
    </xf>
  </cellXfs>
  <cellStyles count="3">
    <cellStyle name="Hyperlink" xfId="1" builtinId="8"/>
    <cellStyle name="Normal" xfId="0" builtinId="0"/>
    <cellStyle name="Percent" xfId="2" builtinId="5"/>
  </cellStyles>
  <dxfs count="5">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3300"/>
        </patternFill>
      </fill>
    </dxf>
  </dxfs>
  <tableStyles count="0" defaultTableStyle="TableStyleMedium9" defaultPivotStyle="PivotStyleLight16"/>
  <colors>
    <mruColors>
      <color rgb="FFFFFF99"/>
      <color rgb="FF00B050"/>
      <color rgb="FF008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a:t>
            </a:r>
            <a:r>
              <a:rPr lang="en-US" baseline="0"/>
              <a:t> Position during the Day</a:t>
            </a:r>
            <a:endParaRPr lang="en-US"/>
          </a:p>
        </c:rich>
      </c:tx>
      <c:layout>
        <c:manualLayout>
          <c:xMode val="edge"/>
          <c:yMode val="edge"/>
          <c:x val="0.32881515129068101"/>
          <c:y val="0"/>
        </c:manualLayout>
      </c:layout>
      <c:overlay val="1"/>
    </c:title>
    <c:autoTitleDeleted val="0"/>
    <c:plotArea>
      <c:layout>
        <c:manualLayout>
          <c:layoutTarget val="inner"/>
          <c:xMode val="edge"/>
          <c:yMode val="edge"/>
          <c:x val="8.8198586033615606E-2"/>
          <c:y val="8.0472760377569397E-2"/>
          <c:w val="0.82428462860282203"/>
          <c:h val="0.801217677404929"/>
        </c:manualLayout>
      </c:layout>
      <c:scatterChart>
        <c:scatterStyle val="smoothMarker"/>
        <c:varyColors val="0"/>
        <c:ser>
          <c:idx val="0"/>
          <c:order val="0"/>
          <c:tx>
            <c:strRef>
              <c:f>Graph!$D$1</c:f>
              <c:strCache>
                <c:ptCount val="1"/>
                <c:pt idx="0">
                  <c:v>Insolation</c:v>
                </c:pt>
              </c:strCache>
            </c:strRef>
          </c:tx>
          <c:spPr>
            <a:ln>
              <a:noFill/>
            </a:ln>
          </c:spPr>
          <c:marker>
            <c:symbol val="none"/>
          </c:marker>
          <c:xVal>
            <c:numRef>
              <c:f>Graph!$C$2:$C$32</c:f>
              <c:numCache>
                <c:formatCode>0.00</c:formatCode>
                <c:ptCount val="31"/>
                <c:pt idx="0">
                  <c:v>120.78601954335207</c:v>
                </c:pt>
                <c:pt idx="1">
                  <c:v>115.98587406696335</c:v>
                </c:pt>
                <c:pt idx="2">
                  <c:v>111.39051599924704</c:v>
                </c:pt>
                <c:pt idx="3">
                  <c:v>106.93303174869352</c:v>
                </c:pt>
                <c:pt idx="4">
                  <c:v>102.54154881848109</c:v>
                </c:pt>
                <c:pt idx="5">
                  <c:v>98.135798556741733</c:v>
                </c:pt>
                <c:pt idx="6">
                  <c:v>93.621207565703884</c:v>
                </c:pt>
                <c:pt idx="7">
                  <c:v>88.879352942611533</c:v>
                </c:pt>
                <c:pt idx="8">
                  <c:v>83.752504032486897</c:v>
                </c:pt>
                <c:pt idx="9">
                  <c:v>78.018125103721204</c:v>
                </c:pt>
                <c:pt idx="10">
                  <c:v>71.34643563701313</c:v>
                </c:pt>
                <c:pt idx="11">
                  <c:v>63.232039853994458</c:v>
                </c:pt>
                <c:pt idx="12">
                  <c:v>52.901520178593017</c:v>
                </c:pt>
                <c:pt idx="13">
                  <c:v>39.280736262274445</c:v>
                </c:pt>
                <c:pt idx="14">
                  <c:v>21.413343221011026</c:v>
                </c:pt>
                <c:pt idx="15">
                  <c:v>0</c:v>
                </c:pt>
                <c:pt idx="16">
                  <c:v>-21.413343221011026</c:v>
                </c:pt>
                <c:pt idx="17">
                  <c:v>-39.280736262274438</c:v>
                </c:pt>
                <c:pt idx="18">
                  <c:v>-52.901520178593024</c:v>
                </c:pt>
                <c:pt idx="19">
                  <c:v>-63.232039853994472</c:v>
                </c:pt>
                <c:pt idx="20">
                  <c:v>-71.34643563701313</c:v>
                </c:pt>
                <c:pt idx="21">
                  <c:v>-78.018125103721246</c:v>
                </c:pt>
                <c:pt idx="22">
                  <c:v>-83.752504032486954</c:v>
                </c:pt>
                <c:pt idx="23">
                  <c:v>-88.879352942611533</c:v>
                </c:pt>
                <c:pt idx="24">
                  <c:v>-93.621207565703799</c:v>
                </c:pt>
                <c:pt idx="25">
                  <c:v>-98.13579855674169</c:v>
                </c:pt>
                <c:pt idx="26">
                  <c:v>-102.54154881848103</c:v>
                </c:pt>
                <c:pt idx="27">
                  <c:v>-106.93303174869351</c:v>
                </c:pt>
                <c:pt idx="28">
                  <c:v>-111.39051599924704</c:v>
                </c:pt>
                <c:pt idx="29">
                  <c:v>-115.98587406696336</c:v>
                </c:pt>
                <c:pt idx="30">
                  <c:v>-120.78601954335207</c:v>
                </c:pt>
              </c:numCache>
            </c:numRef>
          </c:xVal>
          <c:yVal>
            <c:numRef>
              <c:f>Graph!$D$2:$D$32</c:f>
              <c:numCache>
                <c:formatCode>0.00</c:formatCode>
                <c:ptCount val="31"/>
                <c:pt idx="0">
                  <c:v>0</c:v>
                </c:pt>
                <c:pt idx="1">
                  <c:v>21.330251603928545</c:v>
                </c:pt>
                <c:pt idx="2">
                  <c:v>255.85521607712755</c:v>
                </c:pt>
                <c:pt idx="3">
                  <c:v>450.59906074971565</c:v>
                </c:pt>
                <c:pt idx="4">
                  <c:v>577.16827150589779</c:v>
                </c:pt>
                <c:pt idx="5">
                  <c:v>661.91088166891188</c:v>
                </c:pt>
                <c:pt idx="6">
                  <c:v>721.13667917955854</c:v>
                </c:pt>
                <c:pt idx="7">
                  <c:v>763.95531634958468</c:v>
                </c:pt>
                <c:pt idx="8">
                  <c:v>795.64515908117096</c:v>
                </c:pt>
                <c:pt idx="9">
                  <c:v>819.41467747467846</c:v>
                </c:pt>
                <c:pt idx="10">
                  <c:v>837.29534768075985</c:v>
                </c:pt>
                <c:pt idx="11">
                  <c:v>850.6120287102292</c:v>
                </c:pt>
                <c:pt idx="12">
                  <c:v>860.24215969044008</c:v>
                </c:pt>
                <c:pt idx="13">
                  <c:v>866.76394608455882</c:v>
                </c:pt>
                <c:pt idx="14">
                  <c:v>870.54275966790544</c:v>
                </c:pt>
                <c:pt idx="15">
                  <c:v>871.78078508519502</c:v>
                </c:pt>
                <c:pt idx="16">
                  <c:v>870.54275966790544</c:v>
                </c:pt>
                <c:pt idx="17">
                  <c:v>866.76394608455882</c:v>
                </c:pt>
                <c:pt idx="18">
                  <c:v>860.24215969044008</c:v>
                </c:pt>
                <c:pt idx="19">
                  <c:v>850.6120287102292</c:v>
                </c:pt>
                <c:pt idx="20">
                  <c:v>837.29534768075985</c:v>
                </c:pt>
                <c:pt idx="21">
                  <c:v>819.41467747467846</c:v>
                </c:pt>
                <c:pt idx="22">
                  <c:v>795.64515908117096</c:v>
                </c:pt>
                <c:pt idx="23">
                  <c:v>763.95531634958468</c:v>
                </c:pt>
                <c:pt idx="24">
                  <c:v>721.13667917955854</c:v>
                </c:pt>
                <c:pt idx="25">
                  <c:v>661.91088166891188</c:v>
                </c:pt>
                <c:pt idx="26">
                  <c:v>577.16827150589779</c:v>
                </c:pt>
                <c:pt idx="27">
                  <c:v>450.59906074971565</c:v>
                </c:pt>
                <c:pt idx="28">
                  <c:v>255.85521607712755</c:v>
                </c:pt>
                <c:pt idx="29">
                  <c:v>21.330251603928545</c:v>
                </c:pt>
                <c:pt idx="30">
                  <c:v>0</c:v>
                </c:pt>
              </c:numCache>
            </c:numRef>
          </c:yVal>
          <c:smooth val="1"/>
          <c:extLst>
            <c:ext xmlns:c16="http://schemas.microsoft.com/office/drawing/2014/chart" uri="{C3380CC4-5D6E-409C-BE32-E72D297353CC}">
              <c16:uniqueId val="{00000000-1F08-45BF-8BDB-BE6A0F7F5AEB}"/>
            </c:ext>
          </c:extLst>
        </c:ser>
        <c:dLbls>
          <c:showLegendKey val="0"/>
          <c:showVal val="0"/>
          <c:showCatName val="0"/>
          <c:showSerName val="0"/>
          <c:showPercent val="0"/>
          <c:showBubbleSize val="0"/>
        </c:dLbls>
        <c:axId val="2036147672"/>
        <c:axId val="2076353128"/>
      </c:scatterChart>
      <c:scatterChart>
        <c:scatterStyle val="smoothMarker"/>
        <c:varyColors val="0"/>
        <c:ser>
          <c:idx val="1"/>
          <c:order val="1"/>
          <c:tx>
            <c:strRef>
              <c:f>Graph!$B$1</c:f>
              <c:strCache>
                <c:ptCount val="1"/>
                <c:pt idx="0">
                  <c:v>Solar Altitude</c:v>
                </c:pt>
              </c:strCache>
            </c:strRef>
          </c:tx>
          <c:spPr>
            <a:ln>
              <a:solidFill>
                <a:schemeClr val="accent2"/>
              </a:solidFill>
            </a:ln>
            <a:effectLst/>
          </c:spPr>
          <c:marker>
            <c:symbol val="circle"/>
            <c:size val="4"/>
          </c:marker>
          <c:xVal>
            <c:numRef>
              <c:f>Graph!$C$2:$C$32</c:f>
              <c:numCache>
                <c:formatCode>0.00</c:formatCode>
                <c:ptCount val="31"/>
                <c:pt idx="0">
                  <c:v>120.78601954335207</c:v>
                </c:pt>
                <c:pt idx="1">
                  <c:v>115.98587406696335</c:v>
                </c:pt>
                <c:pt idx="2">
                  <c:v>111.39051599924704</c:v>
                </c:pt>
                <c:pt idx="3">
                  <c:v>106.93303174869352</c:v>
                </c:pt>
                <c:pt idx="4">
                  <c:v>102.54154881848109</c:v>
                </c:pt>
                <c:pt idx="5">
                  <c:v>98.135798556741733</c:v>
                </c:pt>
                <c:pt idx="6">
                  <c:v>93.621207565703884</c:v>
                </c:pt>
                <c:pt idx="7">
                  <c:v>88.879352942611533</c:v>
                </c:pt>
                <c:pt idx="8">
                  <c:v>83.752504032486897</c:v>
                </c:pt>
                <c:pt idx="9">
                  <c:v>78.018125103721204</c:v>
                </c:pt>
                <c:pt idx="10">
                  <c:v>71.34643563701313</c:v>
                </c:pt>
                <c:pt idx="11">
                  <c:v>63.232039853994458</c:v>
                </c:pt>
                <c:pt idx="12">
                  <c:v>52.901520178593017</c:v>
                </c:pt>
                <c:pt idx="13">
                  <c:v>39.280736262274445</c:v>
                </c:pt>
                <c:pt idx="14">
                  <c:v>21.413343221011026</c:v>
                </c:pt>
                <c:pt idx="15">
                  <c:v>0</c:v>
                </c:pt>
                <c:pt idx="16">
                  <c:v>-21.413343221011026</c:v>
                </c:pt>
                <c:pt idx="17">
                  <c:v>-39.280736262274438</c:v>
                </c:pt>
                <c:pt idx="18">
                  <c:v>-52.901520178593024</c:v>
                </c:pt>
                <c:pt idx="19">
                  <c:v>-63.232039853994472</c:v>
                </c:pt>
                <c:pt idx="20">
                  <c:v>-71.34643563701313</c:v>
                </c:pt>
                <c:pt idx="21">
                  <c:v>-78.018125103721246</c:v>
                </c:pt>
                <c:pt idx="22">
                  <c:v>-83.752504032486954</c:v>
                </c:pt>
                <c:pt idx="23">
                  <c:v>-88.879352942611533</c:v>
                </c:pt>
                <c:pt idx="24">
                  <c:v>-93.621207565703799</c:v>
                </c:pt>
                <c:pt idx="25">
                  <c:v>-98.13579855674169</c:v>
                </c:pt>
                <c:pt idx="26">
                  <c:v>-102.54154881848103</c:v>
                </c:pt>
                <c:pt idx="27">
                  <c:v>-106.93303174869351</c:v>
                </c:pt>
                <c:pt idx="28">
                  <c:v>-111.39051599924704</c:v>
                </c:pt>
                <c:pt idx="29">
                  <c:v>-115.98587406696336</c:v>
                </c:pt>
                <c:pt idx="30">
                  <c:v>-120.78601954335207</c:v>
                </c:pt>
              </c:numCache>
            </c:numRef>
          </c:xVal>
          <c:yVal>
            <c:numRef>
              <c:f>Graph!$B$2:$B$32</c:f>
              <c:numCache>
                <c:formatCode>0.00</c:formatCode>
                <c:ptCount val="31"/>
                <c:pt idx="0">
                  <c:v>-2.0069953232628306</c:v>
                </c:pt>
                <c:pt idx="1">
                  <c:v>3.0470129919582356</c:v>
                </c:pt>
                <c:pt idx="2">
                  <c:v>8.3074433839540767</c:v>
                </c:pt>
                <c:pt idx="3">
                  <c:v>13.733374622678625</c:v>
                </c:pt>
                <c:pt idx="4">
                  <c:v>19.288400265904052</c:v>
                </c:pt>
                <c:pt idx="5">
                  <c:v>24.938974353617681</c:v>
                </c:pt>
                <c:pt idx="6">
                  <c:v>30.652478432782889</c:v>
                </c:pt>
                <c:pt idx="7">
                  <c:v>36.394751762200009</c:v>
                </c:pt>
                <c:pt idx="8">
                  <c:v>42.126559294713232</c:v>
                </c:pt>
                <c:pt idx="9">
                  <c:v>47.797970161517192</c:v>
                </c:pt>
                <c:pt idx="10">
                  <c:v>53.338610815998862</c:v>
                </c:pt>
                <c:pt idx="11">
                  <c:v>58.639760317883933</c:v>
                </c:pt>
                <c:pt idx="12">
                  <c:v>63.520952647447686</c:v>
                </c:pt>
                <c:pt idx="13">
                  <c:v>67.672801248514745</c:v>
                </c:pt>
                <c:pt idx="14">
                  <c:v>70.595407628686516</c:v>
                </c:pt>
                <c:pt idx="15">
                  <c:v>71.674617435428033</c:v>
                </c:pt>
                <c:pt idx="16">
                  <c:v>70.595407628686516</c:v>
                </c:pt>
                <c:pt idx="17">
                  <c:v>67.672801248514745</c:v>
                </c:pt>
                <c:pt idx="18">
                  <c:v>63.520952647447686</c:v>
                </c:pt>
                <c:pt idx="19">
                  <c:v>58.639760317883933</c:v>
                </c:pt>
                <c:pt idx="20">
                  <c:v>53.338610815998862</c:v>
                </c:pt>
                <c:pt idx="21">
                  <c:v>47.797970161517192</c:v>
                </c:pt>
                <c:pt idx="22">
                  <c:v>42.126559294713232</c:v>
                </c:pt>
                <c:pt idx="23">
                  <c:v>36.394751762200009</c:v>
                </c:pt>
                <c:pt idx="24">
                  <c:v>30.652478432782889</c:v>
                </c:pt>
                <c:pt idx="25">
                  <c:v>24.938974353617681</c:v>
                </c:pt>
                <c:pt idx="26">
                  <c:v>19.288400265904052</c:v>
                </c:pt>
                <c:pt idx="27">
                  <c:v>13.733374622678625</c:v>
                </c:pt>
                <c:pt idx="28">
                  <c:v>8.3074433839540767</c:v>
                </c:pt>
                <c:pt idx="29">
                  <c:v>3.0470129919582356</c:v>
                </c:pt>
                <c:pt idx="30">
                  <c:v>-2.0069953232628306</c:v>
                </c:pt>
              </c:numCache>
            </c:numRef>
          </c:yVal>
          <c:smooth val="1"/>
          <c:extLst>
            <c:ext xmlns:c16="http://schemas.microsoft.com/office/drawing/2014/chart" uri="{C3380CC4-5D6E-409C-BE32-E72D297353CC}">
              <c16:uniqueId val="{00000001-1F08-45BF-8BDB-BE6A0F7F5AEB}"/>
            </c:ext>
          </c:extLst>
        </c:ser>
        <c:dLbls>
          <c:showLegendKey val="0"/>
          <c:showVal val="0"/>
          <c:showCatName val="0"/>
          <c:showSerName val="0"/>
          <c:showPercent val="0"/>
          <c:showBubbleSize val="0"/>
        </c:dLbls>
        <c:axId val="2076341512"/>
        <c:axId val="2076347384"/>
      </c:scatterChart>
      <c:valAx>
        <c:axId val="2036147672"/>
        <c:scaling>
          <c:orientation val="maxMin"/>
          <c:max val="130"/>
          <c:min val="-130"/>
        </c:scaling>
        <c:delete val="0"/>
        <c:axPos val="b"/>
        <c:title>
          <c:tx>
            <c:rich>
              <a:bodyPr/>
              <a:lstStyle/>
              <a:p>
                <a:pPr>
                  <a:defRPr/>
                </a:pPr>
                <a:r>
                  <a:rPr lang="en-US" sz="1400"/>
                  <a:t>Solar Azimuth Angle (degrees)</a:t>
                </a:r>
              </a:p>
            </c:rich>
          </c:tx>
          <c:overlay val="0"/>
        </c:title>
        <c:numFmt formatCode="General" sourceLinked="0"/>
        <c:majorTickMark val="out"/>
        <c:minorTickMark val="none"/>
        <c:tickLblPos val="low"/>
        <c:crossAx val="2076353128"/>
        <c:crosses val="autoZero"/>
        <c:crossBetween val="midCat"/>
        <c:majorUnit val="10"/>
      </c:valAx>
      <c:valAx>
        <c:axId val="2076353128"/>
        <c:scaling>
          <c:orientation val="minMax"/>
          <c:min val="0"/>
        </c:scaling>
        <c:delete val="0"/>
        <c:axPos val="r"/>
        <c:majorGridlines/>
        <c:title>
          <c:tx>
            <c:rich>
              <a:bodyPr rot="-5400000" vert="horz"/>
              <a:lstStyle/>
              <a:p>
                <a:pPr>
                  <a:defRPr/>
                </a:pPr>
                <a:r>
                  <a:rPr lang="en-US" sz="1400"/>
                  <a:t>Insolation (kW/h)</a:t>
                </a:r>
              </a:p>
            </c:rich>
          </c:tx>
          <c:layout>
            <c:manualLayout>
              <c:xMode val="edge"/>
              <c:yMode val="edge"/>
              <c:x val="5.1359078620856098E-3"/>
              <c:y val="0.38321355426917297"/>
            </c:manualLayout>
          </c:layout>
          <c:overlay val="0"/>
        </c:title>
        <c:numFmt formatCode="0.00" sourceLinked="1"/>
        <c:majorTickMark val="cross"/>
        <c:minorTickMark val="none"/>
        <c:tickLblPos val="high"/>
        <c:crossAx val="2036147672"/>
        <c:crosses val="autoZero"/>
        <c:crossBetween val="midCat"/>
        <c:majorUnit val="50"/>
      </c:valAx>
      <c:valAx>
        <c:axId val="2076347384"/>
        <c:scaling>
          <c:orientation val="minMax"/>
        </c:scaling>
        <c:delete val="0"/>
        <c:axPos val="r"/>
        <c:title>
          <c:tx>
            <c:rich>
              <a:bodyPr rot="-5400000" vert="horz"/>
              <a:lstStyle/>
              <a:p>
                <a:pPr>
                  <a:defRPr/>
                </a:pPr>
                <a:r>
                  <a:rPr lang="en-US" sz="1400"/>
                  <a:t>Solar</a:t>
                </a:r>
                <a:r>
                  <a:rPr lang="en-US" sz="1400" baseline="0"/>
                  <a:t> Altitude (degrees)</a:t>
                </a:r>
                <a:endParaRPr lang="en-US" sz="1400"/>
              </a:p>
            </c:rich>
          </c:tx>
          <c:overlay val="0"/>
        </c:title>
        <c:numFmt formatCode="0.00" sourceLinked="1"/>
        <c:majorTickMark val="cross"/>
        <c:minorTickMark val="none"/>
        <c:tickLblPos val="nextTo"/>
        <c:crossAx val="2076341512"/>
        <c:crosses val="max"/>
        <c:crossBetween val="midCat"/>
        <c:majorUnit val="5"/>
      </c:valAx>
      <c:valAx>
        <c:axId val="2076341512"/>
        <c:scaling>
          <c:orientation val="minMax"/>
        </c:scaling>
        <c:delete val="1"/>
        <c:axPos val="t"/>
        <c:numFmt formatCode="0.00" sourceLinked="1"/>
        <c:majorTickMark val="out"/>
        <c:minorTickMark val="none"/>
        <c:tickLblPos val="nextTo"/>
        <c:crossAx val="2076347384"/>
        <c:crosses val="max"/>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0"/>
      <c:rotY val="40"/>
      <c:rAngAx val="0"/>
    </c:view3D>
    <c:floor>
      <c:thickness val="0"/>
    </c:floor>
    <c:sideWall>
      <c:thickness val="0"/>
    </c:sideWall>
    <c:backWall>
      <c:thickness val="0"/>
    </c:backWall>
    <c:plotArea>
      <c:layout>
        <c:manualLayout>
          <c:layoutTarget val="inner"/>
          <c:xMode val="edge"/>
          <c:yMode val="edge"/>
          <c:x val="0.123026492784143"/>
          <c:y val="2.91812113994308E-2"/>
          <c:w val="0.86809040449318597"/>
          <c:h val="0.82898088659163005"/>
        </c:manualLayout>
      </c:layout>
      <c:line3DChart>
        <c:grouping val="standard"/>
        <c:varyColors val="0"/>
        <c:ser>
          <c:idx val="0"/>
          <c:order val="0"/>
          <c:tx>
            <c:v>Position of the Sun</c:v>
          </c:tx>
          <c:cat>
            <c:numRef>
              <c:f>Graph!$C$2:$C$32</c:f>
              <c:numCache>
                <c:formatCode>0.00</c:formatCode>
                <c:ptCount val="31"/>
                <c:pt idx="0">
                  <c:v>120.78601954335207</c:v>
                </c:pt>
                <c:pt idx="1">
                  <c:v>115.98587406696335</c:v>
                </c:pt>
                <c:pt idx="2">
                  <c:v>111.39051599924704</c:v>
                </c:pt>
                <c:pt idx="3">
                  <c:v>106.93303174869352</c:v>
                </c:pt>
                <c:pt idx="4">
                  <c:v>102.54154881848109</c:v>
                </c:pt>
                <c:pt idx="5">
                  <c:v>98.135798556741733</c:v>
                </c:pt>
                <c:pt idx="6">
                  <c:v>93.621207565703884</c:v>
                </c:pt>
                <c:pt idx="7">
                  <c:v>88.879352942611533</c:v>
                </c:pt>
                <c:pt idx="8">
                  <c:v>83.752504032486897</c:v>
                </c:pt>
                <c:pt idx="9">
                  <c:v>78.018125103721204</c:v>
                </c:pt>
                <c:pt idx="10">
                  <c:v>71.34643563701313</c:v>
                </c:pt>
                <c:pt idx="11">
                  <c:v>63.232039853994458</c:v>
                </c:pt>
                <c:pt idx="12">
                  <c:v>52.901520178593017</c:v>
                </c:pt>
                <c:pt idx="13">
                  <c:v>39.280736262274445</c:v>
                </c:pt>
                <c:pt idx="14">
                  <c:v>21.413343221011026</c:v>
                </c:pt>
                <c:pt idx="15">
                  <c:v>0</c:v>
                </c:pt>
                <c:pt idx="16">
                  <c:v>-21.413343221011026</c:v>
                </c:pt>
                <c:pt idx="17">
                  <c:v>-39.280736262274438</c:v>
                </c:pt>
                <c:pt idx="18">
                  <c:v>-52.901520178593024</c:v>
                </c:pt>
                <c:pt idx="19">
                  <c:v>-63.232039853994472</c:v>
                </c:pt>
                <c:pt idx="20">
                  <c:v>-71.34643563701313</c:v>
                </c:pt>
                <c:pt idx="21">
                  <c:v>-78.018125103721246</c:v>
                </c:pt>
                <c:pt idx="22">
                  <c:v>-83.752504032486954</c:v>
                </c:pt>
                <c:pt idx="23">
                  <c:v>-88.879352942611533</c:v>
                </c:pt>
                <c:pt idx="24">
                  <c:v>-93.621207565703799</c:v>
                </c:pt>
                <c:pt idx="25">
                  <c:v>-98.13579855674169</c:v>
                </c:pt>
                <c:pt idx="26">
                  <c:v>-102.54154881848103</c:v>
                </c:pt>
                <c:pt idx="27">
                  <c:v>-106.93303174869351</c:v>
                </c:pt>
                <c:pt idx="28">
                  <c:v>-111.39051599924704</c:v>
                </c:pt>
                <c:pt idx="29">
                  <c:v>-115.98587406696336</c:v>
                </c:pt>
                <c:pt idx="30">
                  <c:v>-120.78601954335207</c:v>
                </c:pt>
              </c:numCache>
            </c:numRef>
          </c:cat>
          <c:val>
            <c:numRef>
              <c:f>Graph!$B$2:$B$32</c:f>
              <c:numCache>
                <c:formatCode>0.00</c:formatCode>
                <c:ptCount val="31"/>
                <c:pt idx="0">
                  <c:v>-2.0069953232628306</c:v>
                </c:pt>
                <c:pt idx="1">
                  <c:v>3.0470129919582356</c:v>
                </c:pt>
                <c:pt idx="2">
                  <c:v>8.3074433839540767</c:v>
                </c:pt>
                <c:pt idx="3">
                  <c:v>13.733374622678625</c:v>
                </c:pt>
                <c:pt idx="4">
                  <c:v>19.288400265904052</c:v>
                </c:pt>
                <c:pt idx="5">
                  <c:v>24.938974353617681</c:v>
                </c:pt>
                <c:pt idx="6">
                  <c:v>30.652478432782889</c:v>
                </c:pt>
                <c:pt idx="7">
                  <c:v>36.394751762200009</c:v>
                </c:pt>
                <c:pt idx="8">
                  <c:v>42.126559294713232</c:v>
                </c:pt>
                <c:pt idx="9">
                  <c:v>47.797970161517192</c:v>
                </c:pt>
                <c:pt idx="10">
                  <c:v>53.338610815998862</c:v>
                </c:pt>
                <c:pt idx="11">
                  <c:v>58.639760317883933</c:v>
                </c:pt>
                <c:pt idx="12">
                  <c:v>63.520952647447686</c:v>
                </c:pt>
                <c:pt idx="13">
                  <c:v>67.672801248514745</c:v>
                </c:pt>
                <c:pt idx="14">
                  <c:v>70.595407628686516</c:v>
                </c:pt>
                <c:pt idx="15">
                  <c:v>71.674617435428033</c:v>
                </c:pt>
                <c:pt idx="16">
                  <c:v>70.595407628686516</c:v>
                </c:pt>
                <c:pt idx="17">
                  <c:v>67.672801248514745</c:v>
                </c:pt>
                <c:pt idx="18">
                  <c:v>63.520952647447686</c:v>
                </c:pt>
                <c:pt idx="19">
                  <c:v>58.639760317883933</c:v>
                </c:pt>
                <c:pt idx="20">
                  <c:v>53.338610815998862</c:v>
                </c:pt>
                <c:pt idx="21">
                  <c:v>47.797970161517192</c:v>
                </c:pt>
                <c:pt idx="22">
                  <c:v>42.126559294713232</c:v>
                </c:pt>
                <c:pt idx="23">
                  <c:v>36.394751762200009</c:v>
                </c:pt>
                <c:pt idx="24">
                  <c:v>30.652478432782889</c:v>
                </c:pt>
                <c:pt idx="25">
                  <c:v>24.938974353617681</c:v>
                </c:pt>
                <c:pt idx="26">
                  <c:v>19.288400265904052</c:v>
                </c:pt>
                <c:pt idx="27">
                  <c:v>13.733374622678625</c:v>
                </c:pt>
                <c:pt idx="28">
                  <c:v>8.3074433839540767</c:v>
                </c:pt>
                <c:pt idx="29">
                  <c:v>3.0470129919582356</c:v>
                </c:pt>
                <c:pt idx="30">
                  <c:v>-2.0069953232628306</c:v>
                </c:pt>
              </c:numCache>
            </c:numRef>
          </c:val>
          <c:smooth val="0"/>
          <c:extLst>
            <c:ext xmlns:c16="http://schemas.microsoft.com/office/drawing/2014/chart" uri="{C3380CC4-5D6E-409C-BE32-E72D297353CC}">
              <c16:uniqueId val="{00000000-90C3-4176-BD34-AC22B7FE1BAF}"/>
            </c:ext>
          </c:extLst>
        </c:ser>
        <c:dLbls>
          <c:showLegendKey val="0"/>
          <c:showVal val="0"/>
          <c:showCatName val="0"/>
          <c:showSerName val="0"/>
          <c:showPercent val="0"/>
          <c:showBubbleSize val="0"/>
        </c:dLbls>
        <c:axId val="2114423992"/>
        <c:axId val="2114429688"/>
        <c:axId val="2114435400"/>
      </c:line3DChart>
      <c:catAx>
        <c:axId val="2114423992"/>
        <c:scaling>
          <c:orientation val="minMax"/>
        </c:scaling>
        <c:delete val="0"/>
        <c:axPos val="b"/>
        <c:majorGridlines/>
        <c:title>
          <c:tx>
            <c:rich>
              <a:bodyPr/>
              <a:lstStyle/>
              <a:p>
                <a:pPr>
                  <a:defRPr/>
                </a:pPr>
                <a:r>
                  <a:rPr lang="en-US" sz="1200"/>
                  <a:t>Azimuth Angle</a:t>
                </a:r>
              </a:p>
            </c:rich>
          </c:tx>
          <c:overlay val="0"/>
        </c:title>
        <c:numFmt formatCode="0.0" sourceLinked="0"/>
        <c:majorTickMark val="none"/>
        <c:minorTickMark val="none"/>
        <c:tickLblPos val="low"/>
        <c:spPr>
          <a:effectLst>
            <a:glow rad="63500">
              <a:schemeClr val="accent1">
                <a:satMod val="175000"/>
                <a:alpha val="40000"/>
              </a:schemeClr>
            </a:glow>
          </a:effectLst>
        </c:spPr>
        <c:txPr>
          <a:bodyPr rot="-5400000" vert="horz" anchor="ctr" anchorCtr="0"/>
          <a:lstStyle/>
          <a:p>
            <a:pPr>
              <a:defRPr b="0"/>
            </a:pPr>
            <a:endParaRPr lang="en-KZ"/>
          </a:p>
        </c:txPr>
        <c:crossAx val="2114429688"/>
        <c:crosses val="autoZero"/>
        <c:auto val="1"/>
        <c:lblAlgn val="ctr"/>
        <c:lblOffset val="100"/>
        <c:noMultiLvlLbl val="0"/>
      </c:catAx>
      <c:valAx>
        <c:axId val="2114429688"/>
        <c:scaling>
          <c:orientation val="minMax"/>
        </c:scaling>
        <c:delete val="0"/>
        <c:axPos val="l"/>
        <c:majorGridlines/>
        <c:title>
          <c:tx>
            <c:rich>
              <a:bodyPr/>
              <a:lstStyle/>
              <a:p>
                <a:pPr>
                  <a:defRPr/>
                </a:pPr>
                <a:r>
                  <a:rPr lang="en-US" sz="1200"/>
                  <a:t>Altitude</a:t>
                </a:r>
                <a:r>
                  <a:rPr lang="en-US" sz="1200" baseline="0"/>
                  <a:t> Angle</a:t>
                </a:r>
                <a:endParaRPr lang="en-US" sz="1200"/>
              </a:p>
            </c:rich>
          </c:tx>
          <c:overlay val="0"/>
        </c:title>
        <c:numFmt formatCode="0.00" sourceLinked="1"/>
        <c:majorTickMark val="out"/>
        <c:minorTickMark val="none"/>
        <c:tickLblPos val="nextTo"/>
        <c:crossAx val="2114423992"/>
        <c:crosses val="autoZero"/>
        <c:crossBetween val="between"/>
      </c:valAx>
      <c:serAx>
        <c:axId val="2114435400"/>
        <c:scaling>
          <c:orientation val="minMax"/>
        </c:scaling>
        <c:delete val="1"/>
        <c:axPos val="b"/>
        <c:majorTickMark val="out"/>
        <c:minorTickMark val="none"/>
        <c:tickLblPos val="nextTo"/>
        <c:crossAx val="2114429688"/>
        <c:crosses val="autoZero"/>
      </c:ser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a:t>
            </a:r>
            <a:r>
              <a:rPr lang="en-US" baseline="0"/>
              <a:t> Position during the Day</a:t>
            </a:r>
            <a:endParaRPr lang="en-US"/>
          </a:p>
        </c:rich>
      </c:tx>
      <c:layout>
        <c:manualLayout>
          <c:xMode val="edge"/>
          <c:yMode val="edge"/>
          <c:x val="0.32881515129068101"/>
          <c:y val="0"/>
        </c:manualLayout>
      </c:layout>
      <c:overlay val="1"/>
    </c:title>
    <c:autoTitleDeleted val="0"/>
    <c:plotArea>
      <c:layout>
        <c:manualLayout>
          <c:layoutTarget val="inner"/>
          <c:xMode val="edge"/>
          <c:yMode val="edge"/>
          <c:x val="8.8198586033615606E-2"/>
          <c:y val="8.0472760377569397E-2"/>
          <c:w val="0.82428462860282203"/>
          <c:h val="0.801217677404929"/>
        </c:manualLayout>
      </c:layout>
      <c:scatterChart>
        <c:scatterStyle val="smoothMarker"/>
        <c:varyColors val="0"/>
        <c:ser>
          <c:idx val="0"/>
          <c:order val="0"/>
          <c:tx>
            <c:strRef>
              <c:f>Graph!$D$1</c:f>
              <c:strCache>
                <c:ptCount val="1"/>
                <c:pt idx="0">
                  <c:v>Insolation</c:v>
                </c:pt>
              </c:strCache>
            </c:strRef>
          </c:tx>
          <c:spPr>
            <a:ln>
              <a:solidFill>
                <a:schemeClr val="accent2"/>
              </a:solidFill>
            </a:ln>
            <a:effectLst/>
          </c:spPr>
          <c:marker>
            <c:symbol val="circle"/>
            <c:size val="4"/>
            <c:spPr>
              <a:solidFill>
                <a:schemeClr val="accent2"/>
              </a:solidFill>
              <a:ln>
                <a:solidFill>
                  <a:schemeClr val="accent2"/>
                </a:solidFill>
              </a:ln>
              <a:effectLst/>
            </c:spPr>
          </c:marker>
          <c:xVal>
            <c:numRef>
              <c:f>Graph!$A$2:$A$32</c:f>
              <c:numCache>
                <c:formatCode>General</c:formatCode>
                <c:ptCount val="31"/>
                <c:pt idx="0">
                  <c:v>4.5</c:v>
                </c:pt>
                <c:pt idx="1">
                  <c:v>5</c:v>
                </c:pt>
                <c:pt idx="2">
                  <c:v>5.5</c:v>
                </c:pt>
                <c:pt idx="3">
                  <c:v>6</c:v>
                </c:pt>
                <c:pt idx="4">
                  <c:v>6.5</c:v>
                </c:pt>
                <c:pt idx="5">
                  <c:v>7</c:v>
                </c:pt>
                <c:pt idx="6">
                  <c:v>7.5</c:v>
                </c:pt>
                <c:pt idx="7">
                  <c:v>8</c:v>
                </c:pt>
                <c:pt idx="8">
                  <c:v>8.5</c:v>
                </c:pt>
                <c:pt idx="9">
                  <c:v>9</c:v>
                </c:pt>
                <c:pt idx="10">
                  <c:v>9.5</c:v>
                </c:pt>
                <c:pt idx="11">
                  <c:v>10</c:v>
                </c:pt>
                <c:pt idx="12">
                  <c:v>10.5</c:v>
                </c:pt>
                <c:pt idx="13">
                  <c:v>11</c:v>
                </c:pt>
                <c:pt idx="14">
                  <c:v>11.5</c:v>
                </c:pt>
                <c:pt idx="15">
                  <c:v>12</c:v>
                </c:pt>
                <c:pt idx="16">
                  <c:v>12.5</c:v>
                </c:pt>
                <c:pt idx="17">
                  <c:v>13</c:v>
                </c:pt>
                <c:pt idx="18">
                  <c:v>13.5</c:v>
                </c:pt>
                <c:pt idx="19">
                  <c:v>14</c:v>
                </c:pt>
                <c:pt idx="20">
                  <c:v>14.5</c:v>
                </c:pt>
                <c:pt idx="21">
                  <c:v>15</c:v>
                </c:pt>
                <c:pt idx="22">
                  <c:v>15.5</c:v>
                </c:pt>
                <c:pt idx="23">
                  <c:v>16</c:v>
                </c:pt>
                <c:pt idx="24">
                  <c:v>16.5</c:v>
                </c:pt>
                <c:pt idx="25">
                  <c:v>17</c:v>
                </c:pt>
                <c:pt idx="26">
                  <c:v>17.5</c:v>
                </c:pt>
                <c:pt idx="27">
                  <c:v>18</c:v>
                </c:pt>
                <c:pt idx="28">
                  <c:v>18.5</c:v>
                </c:pt>
                <c:pt idx="29">
                  <c:v>19</c:v>
                </c:pt>
                <c:pt idx="30">
                  <c:v>19.5</c:v>
                </c:pt>
              </c:numCache>
            </c:numRef>
          </c:xVal>
          <c:yVal>
            <c:numRef>
              <c:f>Graph!$D$2:$D$32</c:f>
              <c:numCache>
                <c:formatCode>0.00</c:formatCode>
                <c:ptCount val="31"/>
                <c:pt idx="0">
                  <c:v>0</c:v>
                </c:pt>
                <c:pt idx="1">
                  <c:v>21.330251603928545</c:v>
                </c:pt>
                <c:pt idx="2">
                  <c:v>255.85521607712755</c:v>
                </c:pt>
                <c:pt idx="3">
                  <c:v>450.59906074971565</c:v>
                </c:pt>
                <c:pt idx="4">
                  <c:v>577.16827150589779</c:v>
                </c:pt>
                <c:pt idx="5">
                  <c:v>661.91088166891188</c:v>
                </c:pt>
                <c:pt idx="6">
                  <c:v>721.13667917955854</c:v>
                </c:pt>
                <c:pt idx="7">
                  <c:v>763.95531634958468</c:v>
                </c:pt>
                <c:pt idx="8">
                  <c:v>795.64515908117096</c:v>
                </c:pt>
                <c:pt idx="9">
                  <c:v>819.41467747467846</c:v>
                </c:pt>
                <c:pt idx="10">
                  <c:v>837.29534768075985</c:v>
                </c:pt>
                <c:pt idx="11">
                  <c:v>850.6120287102292</c:v>
                </c:pt>
                <c:pt idx="12">
                  <c:v>860.24215969044008</c:v>
                </c:pt>
                <c:pt idx="13">
                  <c:v>866.76394608455882</c:v>
                </c:pt>
                <c:pt idx="14">
                  <c:v>870.54275966790544</c:v>
                </c:pt>
                <c:pt idx="15">
                  <c:v>871.78078508519502</c:v>
                </c:pt>
                <c:pt idx="16">
                  <c:v>870.54275966790544</c:v>
                </c:pt>
                <c:pt idx="17">
                  <c:v>866.76394608455882</c:v>
                </c:pt>
                <c:pt idx="18">
                  <c:v>860.24215969044008</c:v>
                </c:pt>
                <c:pt idx="19">
                  <c:v>850.6120287102292</c:v>
                </c:pt>
                <c:pt idx="20">
                  <c:v>837.29534768075985</c:v>
                </c:pt>
                <c:pt idx="21">
                  <c:v>819.41467747467846</c:v>
                </c:pt>
                <c:pt idx="22">
                  <c:v>795.64515908117096</c:v>
                </c:pt>
                <c:pt idx="23">
                  <c:v>763.95531634958468</c:v>
                </c:pt>
                <c:pt idx="24">
                  <c:v>721.13667917955854</c:v>
                </c:pt>
                <c:pt idx="25">
                  <c:v>661.91088166891188</c:v>
                </c:pt>
                <c:pt idx="26">
                  <c:v>577.16827150589779</c:v>
                </c:pt>
                <c:pt idx="27">
                  <c:v>450.59906074971565</c:v>
                </c:pt>
                <c:pt idx="28">
                  <c:v>255.85521607712755</c:v>
                </c:pt>
                <c:pt idx="29">
                  <c:v>21.330251603928545</c:v>
                </c:pt>
                <c:pt idx="30">
                  <c:v>0</c:v>
                </c:pt>
              </c:numCache>
            </c:numRef>
          </c:yVal>
          <c:smooth val="1"/>
          <c:extLst>
            <c:ext xmlns:c16="http://schemas.microsoft.com/office/drawing/2014/chart" uri="{C3380CC4-5D6E-409C-BE32-E72D297353CC}">
              <c16:uniqueId val="{00000000-3FC3-40BC-B99F-46B5ACE8FD25}"/>
            </c:ext>
          </c:extLst>
        </c:ser>
        <c:dLbls>
          <c:showLegendKey val="0"/>
          <c:showVal val="0"/>
          <c:showCatName val="0"/>
          <c:showSerName val="0"/>
          <c:showPercent val="0"/>
          <c:showBubbleSize val="0"/>
        </c:dLbls>
        <c:axId val="2098306152"/>
        <c:axId val="2098300680"/>
      </c:scatterChart>
      <c:scatterChart>
        <c:scatterStyle val="smoothMarker"/>
        <c:varyColors val="0"/>
        <c:ser>
          <c:idx val="1"/>
          <c:order val="1"/>
          <c:tx>
            <c:strRef>
              <c:f>Graph!$B$1</c:f>
              <c:strCache>
                <c:ptCount val="1"/>
                <c:pt idx="0">
                  <c:v>Solar Altitude</c:v>
                </c:pt>
              </c:strCache>
            </c:strRef>
          </c:tx>
          <c:spPr>
            <a:ln>
              <a:noFill/>
            </a:ln>
            <a:effectLst>
              <a:glow rad="63500">
                <a:schemeClr val="accent2">
                  <a:satMod val="175000"/>
                  <a:alpha val="40000"/>
                </a:schemeClr>
              </a:glow>
            </a:effectLst>
          </c:spPr>
          <c:marker>
            <c:symbol val="none"/>
          </c:marker>
          <c:xVal>
            <c:numRef>
              <c:f>Graph!$A$2:$A$32</c:f>
              <c:numCache>
                <c:formatCode>General</c:formatCode>
                <c:ptCount val="31"/>
                <c:pt idx="0">
                  <c:v>4.5</c:v>
                </c:pt>
                <c:pt idx="1">
                  <c:v>5</c:v>
                </c:pt>
                <c:pt idx="2">
                  <c:v>5.5</c:v>
                </c:pt>
                <c:pt idx="3">
                  <c:v>6</c:v>
                </c:pt>
                <c:pt idx="4">
                  <c:v>6.5</c:v>
                </c:pt>
                <c:pt idx="5">
                  <c:v>7</c:v>
                </c:pt>
                <c:pt idx="6">
                  <c:v>7.5</c:v>
                </c:pt>
                <c:pt idx="7">
                  <c:v>8</c:v>
                </c:pt>
                <c:pt idx="8">
                  <c:v>8.5</c:v>
                </c:pt>
                <c:pt idx="9">
                  <c:v>9</c:v>
                </c:pt>
                <c:pt idx="10">
                  <c:v>9.5</c:v>
                </c:pt>
                <c:pt idx="11">
                  <c:v>10</c:v>
                </c:pt>
                <c:pt idx="12">
                  <c:v>10.5</c:v>
                </c:pt>
                <c:pt idx="13">
                  <c:v>11</c:v>
                </c:pt>
                <c:pt idx="14">
                  <c:v>11.5</c:v>
                </c:pt>
                <c:pt idx="15">
                  <c:v>12</c:v>
                </c:pt>
                <c:pt idx="16">
                  <c:v>12.5</c:v>
                </c:pt>
                <c:pt idx="17">
                  <c:v>13</c:v>
                </c:pt>
                <c:pt idx="18">
                  <c:v>13.5</c:v>
                </c:pt>
                <c:pt idx="19">
                  <c:v>14</c:v>
                </c:pt>
                <c:pt idx="20">
                  <c:v>14.5</c:v>
                </c:pt>
                <c:pt idx="21">
                  <c:v>15</c:v>
                </c:pt>
                <c:pt idx="22">
                  <c:v>15.5</c:v>
                </c:pt>
                <c:pt idx="23">
                  <c:v>16</c:v>
                </c:pt>
                <c:pt idx="24">
                  <c:v>16.5</c:v>
                </c:pt>
                <c:pt idx="25">
                  <c:v>17</c:v>
                </c:pt>
                <c:pt idx="26">
                  <c:v>17.5</c:v>
                </c:pt>
                <c:pt idx="27">
                  <c:v>18</c:v>
                </c:pt>
                <c:pt idx="28">
                  <c:v>18.5</c:v>
                </c:pt>
                <c:pt idx="29">
                  <c:v>19</c:v>
                </c:pt>
                <c:pt idx="30">
                  <c:v>19.5</c:v>
                </c:pt>
              </c:numCache>
            </c:numRef>
          </c:xVal>
          <c:yVal>
            <c:numRef>
              <c:f>Graph!$B$2:$B$32</c:f>
              <c:numCache>
                <c:formatCode>0.00</c:formatCode>
                <c:ptCount val="31"/>
                <c:pt idx="0">
                  <c:v>-2.0069953232628306</c:v>
                </c:pt>
                <c:pt idx="1">
                  <c:v>3.0470129919582356</c:v>
                </c:pt>
                <c:pt idx="2">
                  <c:v>8.3074433839540767</c:v>
                </c:pt>
                <c:pt idx="3">
                  <c:v>13.733374622678625</c:v>
                </c:pt>
                <c:pt idx="4">
                  <c:v>19.288400265904052</c:v>
                </c:pt>
                <c:pt idx="5">
                  <c:v>24.938974353617681</c:v>
                </c:pt>
                <c:pt idx="6">
                  <c:v>30.652478432782889</c:v>
                </c:pt>
                <c:pt idx="7">
                  <c:v>36.394751762200009</c:v>
                </c:pt>
                <c:pt idx="8">
                  <c:v>42.126559294713232</c:v>
                </c:pt>
                <c:pt idx="9">
                  <c:v>47.797970161517192</c:v>
                </c:pt>
                <c:pt idx="10">
                  <c:v>53.338610815998862</c:v>
                </c:pt>
                <c:pt idx="11">
                  <c:v>58.639760317883933</c:v>
                </c:pt>
                <c:pt idx="12">
                  <c:v>63.520952647447686</c:v>
                </c:pt>
                <c:pt idx="13">
                  <c:v>67.672801248514745</c:v>
                </c:pt>
                <c:pt idx="14">
                  <c:v>70.595407628686516</c:v>
                </c:pt>
                <c:pt idx="15">
                  <c:v>71.674617435428033</c:v>
                </c:pt>
                <c:pt idx="16">
                  <c:v>70.595407628686516</c:v>
                </c:pt>
                <c:pt idx="17">
                  <c:v>67.672801248514745</c:v>
                </c:pt>
                <c:pt idx="18">
                  <c:v>63.520952647447686</c:v>
                </c:pt>
                <c:pt idx="19">
                  <c:v>58.639760317883933</c:v>
                </c:pt>
                <c:pt idx="20">
                  <c:v>53.338610815998862</c:v>
                </c:pt>
                <c:pt idx="21">
                  <c:v>47.797970161517192</c:v>
                </c:pt>
                <c:pt idx="22">
                  <c:v>42.126559294713232</c:v>
                </c:pt>
                <c:pt idx="23">
                  <c:v>36.394751762200009</c:v>
                </c:pt>
                <c:pt idx="24">
                  <c:v>30.652478432782889</c:v>
                </c:pt>
                <c:pt idx="25">
                  <c:v>24.938974353617681</c:v>
                </c:pt>
                <c:pt idx="26">
                  <c:v>19.288400265904052</c:v>
                </c:pt>
                <c:pt idx="27">
                  <c:v>13.733374622678625</c:v>
                </c:pt>
                <c:pt idx="28">
                  <c:v>8.3074433839540767</c:v>
                </c:pt>
                <c:pt idx="29">
                  <c:v>3.0470129919582356</c:v>
                </c:pt>
                <c:pt idx="30">
                  <c:v>-2.0069953232628306</c:v>
                </c:pt>
              </c:numCache>
            </c:numRef>
          </c:yVal>
          <c:smooth val="1"/>
          <c:extLst>
            <c:ext xmlns:c16="http://schemas.microsoft.com/office/drawing/2014/chart" uri="{C3380CC4-5D6E-409C-BE32-E72D297353CC}">
              <c16:uniqueId val="{00000001-3FC3-40BC-B99F-46B5ACE8FD25}"/>
            </c:ext>
          </c:extLst>
        </c:ser>
        <c:dLbls>
          <c:showLegendKey val="0"/>
          <c:showVal val="0"/>
          <c:showCatName val="0"/>
          <c:showSerName val="0"/>
          <c:showPercent val="0"/>
          <c:showBubbleSize val="0"/>
        </c:dLbls>
        <c:axId val="2098289528"/>
        <c:axId val="2098295048"/>
      </c:scatterChart>
      <c:valAx>
        <c:axId val="2098306152"/>
        <c:scaling>
          <c:orientation val="minMax"/>
          <c:max val="20"/>
          <c:min val="4"/>
        </c:scaling>
        <c:delete val="0"/>
        <c:axPos val="b"/>
        <c:title>
          <c:tx>
            <c:rich>
              <a:bodyPr/>
              <a:lstStyle/>
              <a:p>
                <a:pPr>
                  <a:defRPr/>
                </a:pPr>
                <a:r>
                  <a:rPr lang="en-US" sz="1400"/>
                  <a:t>Hours (Solar Time)</a:t>
                </a:r>
              </a:p>
            </c:rich>
          </c:tx>
          <c:overlay val="0"/>
        </c:title>
        <c:numFmt formatCode="General" sourceLinked="0"/>
        <c:majorTickMark val="out"/>
        <c:minorTickMark val="none"/>
        <c:tickLblPos val="low"/>
        <c:crossAx val="2098300680"/>
        <c:crosses val="autoZero"/>
        <c:crossBetween val="midCat"/>
        <c:majorUnit val="1"/>
      </c:valAx>
      <c:valAx>
        <c:axId val="2098300680"/>
        <c:scaling>
          <c:orientation val="minMax"/>
          <c:min val="0"/>
        </c:scaling>
        <c:delete val="0"/>
        <c:axPos val="l"/>
        <c:majorGridlines/>
        <c:title>
          <c:tx>
            <c:rich>
              <a:bodyPr rot="-5400000" vert="horz"/>
              <a:lstStyle/>
              <a:p>
                <a:pPr>
                  <a:defRPr/>
                </a:pPr>
                <a:r>
                  <a:rPr lang="en-US" sz="1400"/>
                  <a:t>Insolation (kW/h)</a:t>
                </a:r>
              </a:p>
            </c:rich>
          </c:tx>
          <c:layout>
            <c:manualLayout>
              <c:xMode val="edge"/>
              <c:yMode val="edge"/>
              <c:x val="5.1359078620856098E-3"/>
              <c:y val="0.38321355426917297"/>
            </c:manualLayout>
          </c:layout>
          <c:overlay val="0"/>
        </c:title>
        <c:numFmt formatCode="0.00" sourceLinked="1"/>
        <c:majorTickMark val="cross"/>
        <c:minorTickMark val="none"/>
        <c:tickLblPos val="low"/>
        <c:crossAx val="2098306152"/>
        <c:crosses val="autoZero"/>
        <c:crossBetween val="midCat"/>
        <c:majorUnit val="50"/>
      </c:valAx>
      <c:valAx>
        <c:axId val="2098295048"/>
        <c:scaling>
          <c:orientation val="minMax"/>
        </c:scaling>
        <c:delete val="0"/>
        <c:axPos val="r"/>
        <c:title>
          <c:tx>
            <c:rich>
              <a:bodyPr rot="-5400000" vert="horz"/>
              <a:lstStyle/>
              <a:p>
                <a:pPr>
                  <a:defRPr/>
                </a:pPr>
                <a:r>
                  <a:rPr lang="en-US" sz="1400"/>
                  <a:t>Solar Altitude (degrees)</a:t>
                </a:r>
              </a:p>
            </c:rich>
          </c:tx>
          <c:overlay val="0"/>
        </c:title>
        <c:numFmt formatCode="0.00" sourceLinked="1"/>
        <c:majorTickMark val="out"/>
        <c:minorTickMark val="none"/>
        <c:tickLblPos val="nextTo"/>
        <c:crossAx val="2098289528"/>
        <c:crosses val="max"/>
        <c:crossBetween val="midCat"/>
        <c:majorUnit val="5"/>
      </c:valAx>
      <c:valAx>
        <c:axId val="2098289528"/>
        <c:scaling>
          <c:orientation val="minMax"/>
        </c:scaling>
        <c:delete val="1"/>
        <c:axPos val="b"/>
        <c:numFmt formatCode="General" sourceLinked="1"/>
        <c:majorTickMark val="out"/>
        <c:minorTickMark val="none"/>
        <c:tickLblPos val="nextTo"/>
        <c:crossAx val="2098295048"/>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angles</a:t>
            </a:r>
            <a:r>
              <a:rPr lang="en-US" baseline="0"/>
              <a:t> and Insolation</a:t>
            </a:r>
            <a:endParaRPr lang="en-US"/>
          </a:p>
        </c:rich>
      </c:tx>
      <c:overlay val="1"/>
    </c:title>
    <c:autoTitleDeleted val="0"/>
    <c:plotArea>
      <c:layout>
        <c:manualLayout>
          <c:layoutTarget val="inner"/>
          <c:xMode val="edge"/>
          <c:yMode val="edge"/>
          <c:x val="0.10807853172890899"/>
          <c:y val="0.17289221634181001"/>
          <c:w val="0.80660434767449596"/>
          <c:h val="0.73682388881717698"/>
        </c:manualLayout>
      </c:layout>
      <c:scatterChart>
        <c:scatterStyle val="smoothMarker"/>
        <c:varyColors val="0"/>
        <c:ser>
          <c:idx val="0"/>
          <c:order val="0"/>
          <c:tx>
            <c:strRef>
              <c:f>Graph!$C$1</c:f>
              <c:strCache>
                <c:ptCount val="1"/>
                <c:pt idx="0">
                  <c:v>Azimuth</c:v>
                </c:pt>
              </c:strCache>
            </c:strRef>
          </c:tx>
          <c:spPr>
            <a:ln>
              <a:noFill/>
            </a:ln>
          </c:spPr>
          <c:marker>
            <c:symbol val="none"/>
          </c:marker>
          <c:trendline>
            <c:trendlineType val="log"/>
            <c:dispRSqr val="0"/>
            <c:dispEq val="0"/>
          </c:trendline>
          <c:xVal>
            <c:numRef>
              <c:f>Graph!$C$2:$C$32</c:f>
              <c:numCache>
                <c:formatCode>0.00</c:formatCode>
                <c:ptCount val="31"/>
                <c:pt idx="0">
                  <c:v>120.78601954335207</c:v>
                </c:pt>
                <c:pt idx="1">
                  <c:v>115.98587406696335</c:v>
                </c:pt>
                <c:pt idx="2">
                  <c:v>111.39051599924704</c:v>
                </c:pt>
                <c:pt idx="3">
                  <c:v>106.93303174869352</c:v>
                </c:pt>
                <c:pt idx="4">
                  <c:v>102.54154881848109</c:v>
                </c:pt>
                <c:pt idx="5">
                  <c:v>98.135798556741733</c:v>
                </c:pt>
                <c:pt idx="6">
                  <c:v>93.621207565703884</c:v>
                </c:pt>
                <c:pt idx="7">
                  <c:v>88.879352942611533</c:v>
                </c:pt>
                <c:pt idx="8">
                  <c:v>83.752504032486897</c:v>
                </c:pt>
                <c:pt idx="9">
                  <c:v>78.018125103721204</c:v>
                </c:pt>
                <c:pt idx="10">
                  <c:v>71.34643563701313</c:v>
                </c:pt>
                <c:pt idx="11">
                  <c:v>63.232039853994458</c:v>
                </c:pt>
                <c:pt idx="12">
                  <c:v>52.901520178593017</c:v>
                </c:pt>
                <c:pt idx="13">
                  <c:v>39.280736262274445</c:v>
                </c:pt>
                <c:pt idx="14">
                  <c:v>21.413343221011026</c:v>
                </c:pt>
                <c:pt idx="15">
                  <c:v>0</c:v>
                </c:pt>
                <c:pt idx="16">
                  <c:v>-21.413343221011026</c:v>
                </c:pt>
                <c:pt idx="17">
                  <c:v>-39.280736262274438</c:v>
                </c:pt>
                <c:pt idx="18">
                  <c:v>-52.901520178593024</c:v>
                </c:pt>
                <c:pt idx="19">
                  <c:v>-63.232039853994472</c:v>
                </c:pt>
                <c:pt idx="20">
                  <c:v>-71.34643563701313</c:v>
                </c:pt>
                <c:pt idx="21">
                  <c:v>-78.018125103721246</c:v>
                </c:pt>
                <c:pt idx="22">
                  <c:v>-83.752504032486954</c:v>
                </c:pt>
                <c:pt idx="23">
                  <c:v>-88.879352942611533</c:v>
                </c:pt>
                <c:pt idx="24">
                  <c:v>-93.621207565703799</c:v>
                </c:pt>
                <c:pt idx="25">
                  <c:v>-98.13579855674169</c:v>
                </c:pt>
                <c:pt idx="26">
                  <c:v>-102.54154881848103</c:v>
                </c:pt>
                <c:pt idx="27">
                  <c:v>-106.93303174869351</c:v>
                </c:pt>
                <c:pt idx="28">
                  <c:v>-111.39051599924704</c:v>
                </c:pt>
                <c:pt idx="29">
                  <c:v>-115.98587406696336</c:v>
                </c:pt>
                <c:pt idx="30">
                  <c:v>-120.78601954335207</c:v>
                </c:pt>
              </c:numCache>
            </c:numRef>
          </c:xVal>
          <c:yVal>
            <c:numRef>
              <c:f>Graph!$B$2:$B$32</c:f>
              <c:numCache>
                <c:formatCode>0.00</c:formatCode>
                <c:ptCount val="31"/>
                <c:pt idx="0">
                  <c:v>-2.0069953232628306</c:v>
                </c:pt>
                <c:pt idx="1">
                  <c:v>3.0470129919582356</c:v>
                </c:pt>
                <c:pt idx="2">
                  <c:v>8.3074433839540767</c:v>
                </c:pt>
                <c:pt idx="3">
                  <c:v>13.733374622678625</c:v>
                </c:pt>
                <c:pt idx="4">
                  <c:v>19.288400265904052</c:v>
                </c:pt>
                <c:pt idx="5">
                  <c:v>24.938974353617681</c:v>
                </c:pt>
                <c:pt idx="6">
                  <c:v>30.652478432782889</c:v>
                </c:pt>
                <c:pt idx="7">
                  <c:v>36.394751762200009</c:v>
                </c:pt>
                <c:pt idx="8">
                  <c:v>42.126559294713232</c:v>
                </c:pt>
                <c:pt idx="9">
                  <c:v>47.797970161517192</c:v>
                </c:pt>
                <c:pt idx="10">
                  <c:v>53.338610815998862</c:v>
                </c:pt>
                <c:pt idx="11">
                  <c:v>58.639760317883933</c:v>
                </c:pt>
                <c:pt idx="12">
                  <c:v>63.520952647447686</c:v>
                </c:pt>
                <c:pt idx="13">
                  <c:v>67.672801248514745</c:v>
                </c:pt>
                <c:pt idx="14">
                  <c:v>70.595407628686516</c:v>
                </c:pt>
                <c:pt idx="15">
                  <c:v>71.674617435428033</c:v>
                </c:pt>
                <c:pt idx="16">
                  <c:v>70.595407628686516</c:v>
                </c:pt>
                <c:pt idx="17">
                  <c:v>67.672801248514745</c:v>
                </c:pt>
                <c:pt idx="18">
                  <c:v>63.520952647447686</c:v>
                </c:pt>
                <c:pt idx="19">
                  <c:v>58.639760317883933</c:v>
                </c:pt>
                <c:pt idx="20">
                  <c:v>53.338610815998862</c:v>
                </c:pt>
                <c:pt idx="21">
                  <c:v>47.797970161517192</c:v>
                </c:pt>
                <c:pt idx="22">
                  <c:v>42.126559294713232</c:v>
                </c:pt>
                <c:pt idx="23">
                  <c:v>36.394751762200009</c:v>
                </c:pt>
                <c:pt idx="24">
                  <c:v>30.652478432782889</c:v>
                </c:pt>
                <c:pt idx="25">
                  <c:v>24.938974353617681</c:v>
                </c:pt>
                <c:pt idx="26">
                  <c:v>19.288400265904052</c:v>
                </c:pt>
                <c:pt idx="27">
                  <c:v>13.733374622678625</c:v>
                </c:pt>
                <c:pt idx="28">
                  <c:v>8.3074433839540767</c:v>
                </c:pt>
                <c:pt idx="29">
                  <c:v>3.0470129919582356</c:v>
                </c:pt>
                <c:pt idx="30">
                  <c:v>-2.0069953232628306</c:v>
                </c:pt>
              </c:numCache>
            </c:numRef>
          </c:yVal>
          <c:smooth val="1"/>
          <c:extLst>
            <c:ext xmlns:c16="http://schemas.microsoft.com/office/drawing/2014/chart" uri="{C3380CC4-5D6E-409C-BE32-E72D297353CC}">
              <c16:uniqueId val="{00000001-8ED9-41DB-9AAE-E1DC3BF6622B}"/>
            </c:ext>
          </c:extLst>
        </c:ser>
        <c:dLbls>
          <c:showLegendKey val="0"/>
          <c:showVal val="0"/>
          <c:showCatName val="0"/>
          <c:showSerName val="0"/>
          <c:showPercent val="0"/>
          <c:showBubbleSize val="0"/>
        </c:dLbls>
        <c:axId val="2114466120"/>
        <c:axId val="2114471640"/>
      </c:scatterChart>
      <c:scatterChart>
        <c:scatterStyle val="smoothMarker"/>
        <c:varyColors val="0"/>
        <c:ser>
          <c:idx val="1"/>
          <c:order val="1"/>
          <c:tx>
            <c:strRef>
              <c:f>Graph!$A$1</c:f>
              <c:strCache>
                <c:ptCount val="1"/>
                <c:pt idx="0">
                  <c:v> Time</c:v>
                </c:pt>
              </c:strCache>
            </c:strRef>
          </c:tx>
          <c:marker>
            <c:symbol val="diamond"/>
            <c:size val="6"/>
          </c:marker>
          <c:xVal>
            <c:numRef>
              <c:f>Graph!$A$2:$A$32</c:f>
              <c:numCache>
                <c:formatCode>General</c:formatCode>
                <c:ptCount val="31"/>
                <c:pt idx="0">
                  <c:v>4.5</c:v>
                </c:pt>
                <c:pt idx="1">
                  <c:v>5</c:v>
                </c:pt>
                <c:pt idx="2">
                  <c:v>5.5</c:v>
                </c:pt>
                <c:pt idx="3">
                  <c:v>6</c:v>
                </c:pt>
                <c:pt idx="4">
                  <c:v>6.5</c:v>
                </c:pt>
                <c:pt idx="5">
                  <c:v>7</c:v>
                </c:pt>
                <c:pt idx="6">
                  <c:v>7.5</c:v>
                </c:pt>
                <c:pt idx="7">
                  <c:v>8</c:v>
                </c:pt>
                <c:pt idx="8">
                  <c:v>8.5</c:v>
                </c:pt>
                <c:pt idx="9">
                  <c:v>9</c:v>
                </c:pt>
                <c:pt idx="10">
                  <c:v>9.5</c:v>
                </c:pt>
                <c:pt idx="11">
                  <c:v>10</c:v>
                </c:pt>
                <c:pt idx="12">
                  <c:v>10.5</c:v>
                </c:pt>
                <c:pt idx="13">
                  <c:v>11</c:v>
                </c:pt>
                <c:pt idx="14">
                  <c:v>11.5</c:v>
                </c:pt>
                <c:pt idx="15">
                  <c:v>12</c:v>
                </c:pt>
                <c:pt idx="16">
                  <c:v>12.5</c:v>
                </c:pt>
                <c:pt idx="17">
                  <c:v>13</c:v>
                </c:pt>
                <c:pt idx="18">
                  <c:v>13.5</c:v>
                </c:pt>
                <c:pt idx="19">
                  <c:v>14</c:v>
                </c:pt>
                <c:pt idx="20">
                  <c:v>14.5</c:v>
                </c:pt>
                <c:pt idx="21">
                  <c:v>15</c:v>
                </c:pt>
                <c:pt idx="22">
                  <c:v>15.5</c:v>
                </c:pt>
                <c:pt idx="23">
                  <c:v>16</c:v>
                </c:pt>
                <c:pt idx="24">
                  <c:v>16.5</c:v>
                </c:pt>
                <c:pt idx="25">
                  <c:v>17</c:v>
                </c:pt>
                <c:pt idx="26">
                  <c:v>17.5</c:v>
                </c:pt>
                <c:pt idx="27">
                  <c:v>18</c:v>
                </c:pt>
                <c:pt idx="28">
                  <c:v>18.5</c:v>
                </c:pt>
                <c:pt idx="29">
                  <c:v>19</c:v>
                </c:pt>
                <c:pt idx="30">
                  <c:v>19.5</c:v>
                </c:pt>
              </c:numCache>
            </c:numRef>
          </c:xVal>
          <c:yVal>
            <c:numRef>
              <c:f>Graph!$D$2:$D$32</c:f>
              <c:numCache>
                <c:formatCode>0.00</c:formatCode>
                <c:ptCount val="31"/>
                <c:pt idx="0">
                  <c:v>0</c:v>
                </c:pt>
                <c:pt idx="1">
                  <c:v>21.330251603928545</c:v>
                </c:pt>
                <c:pt idx="2">
                  <c:v>255.85521607712755</c:v>
                </c:pt>
                <c:pt idx="3">
                  <c:v>450.59906074971565</c:v>
                </c:pt>
                <c:pt idx="4">
                  <c:v>577.16827150589779</c:v>
                </c:pt>
                <c:pt idx="5">
                  <c:v>661.91088166891188</c:v>
                </c:pt>
                <c:pt idx="6">
                  <c:v>721.13667917955854</c:v>
                </c:pt>
                <c:pt idx="7">
                  <c:v>763.95531634958468</c:v>
                </c:pt>
                <c:pt idx="8">
                  <c:v>795.64515908117096</c:v>
                </c:pt>
                <c:pt idx="9">
                  <c:v>819.41467747467846</c:v>
                </c:pt>
                <c:pt idx="10">
                  <c:v>837.29534768075985</c:v>
                </c:pt>
                <c:pt idx="11">
                  <c:v>850.6120287102292</c:v>
                </c:pt>
                <c:pt idx="12">
                  <c:v>860.24215969044008</c:v>
                </c:pt>
                <c:pt idx="13">
                  <c:v>866.76394608455882</c:v>
                </c:pt>
                <c:pt idx="14">
                  <c:v>870.54275966790544</c:v>
                </c:pt>
                <c:pt idx="15">
                  <c:v>871.78078508519502</c:v>
                </c:pt>
                <c:pt idx="16">
                  <c:v>870.54275966790544</c:v>
                </c:pt>
                <c:pt idx="17">
                  <c:v>866.76394608455882</c:v>
                </c:pt>
                <c:pt idx="18">
                  <c:v>860.24215969044008</c:v>
                </c:pt>
                <c:pt idx="19">
                  <c:v>850.6120287102292</c:v>
                </c:pt>
                <c:pt idx="20">
                  <c:v>837.29534768075985</c:v>
                </c:pt>
                <c:pt idx="21">
                  <c:v>819.41467747467846</c:v>
                </c:pt>
                <c:pt idx="22">
                  <c:v>795.64515908117096</c:v>
                </c:pt>
                <c:pt idx="23">
                  <c:v>763.95531634958468</c:v>
                </c:pt>
                <c:pt idx="24">
                  <c:v>721.13667917955854</c:v>
                </c:pt>
                <c:pt idx="25">
                  <c:v>661.91088166891188</c:v>
                </c:pt>
                <c:pt idx="26">
                  <c:v>577.16827150589779</c:v>
                </c:pt>
                <c:pt idx="27">
                  <c:v>450.59906074971565</c:v>
                </c:pt>
                <c:pt idx="28">
                  <c:v>255.85521607712755</c:v>
                </c:pt>
                <c:pt idx="29">
                  <c:v>21.330251603928545</c:v>
                </c:pt>
                <c:pt idx="30">
                  <c:v>0</c:v>
                </c:pt>
              </c:numCache>
            </c:numRef>
          </c:yVal>
          <c:smooth val="1"/>
          <c:extLst>
            <c:ext xmlns:c16="http://schemas.microsoft.com/office/drawing/2014/chart" uri="{C3380CC4-5D6E-409C-BE32-E72D297353CC}">
              <c16:uniqueId val="{00000002-8ED9-41DB-9AAE-E1DC3BF6622B}"/>
            </c:ext>
          </c:extLst>
        </c:ser>
        <c:dLbls>
          <c:showLegendKey val="0"/>
          <c:showVal val="0"/>
          <c:showCatName val="0"/>
          <c:showSerName val="0"/>
          <c:showPercent val="0"/>
          <c:showBubbleSize val="0"/>
        </c:dLbls>
        <c:axId val="2114482808"/>
        <c:axId val="2114477432"/>
      </c:scatterChart>
      <c:valAx>
        <c:axId val="2114466120"/>
        <c:scaling>
          <c:orientation val="maxMin"/>
          <c:max val="130"/>
          <c:min val="-130"/>
        </c:scaling>
        <c:delete val="0"/>
        <c:axPos val="t"/>
        <c:majorGridlines/>
        <c:title>
          <c:tx>
            <c:rich>
              <a:bodyPr/>
              <a:lstStyle/>
              <a:p>
                <a:pPr>
                  <a:defRPr/>
                </a:pPr>
                <a:r>
                  <a:rPr lang="en-US" sz="1400"/>
                  <a:t>Solar Time</a:t>
                </a:r>
              </a:p>
            </c:rich>
          </c:tx>
          <c:layout>
            <c:manualLayout>
              <c:xMode val="edge"/>
              <c:yMode val="edge"/>
              <c:x val="0.44948751505297802"/>
              <c:y val="0.94826367195903805"/>
            </c:manualLayout>
          </c:layout>
          <c:overlay val="0"/>
        </c:title>
        <c:numFmt formatCode="0" sourceLinked="0"/>
        <c:majorTickMark val="out"/>
        <c:minorTickMark val="none"/>
        <c:tickLblPos val="nextTo"/>
        <c:crossAx val="2114471640"/>
        <c:crosses val="max"/>
        <c:crossBetween val="midCat"/>
        <c:majorUnit val="10"/>
      </c:valAx>
      <c:valAx>
        <c:axId val="2114471640"/>
        <c:scaling>
          <c:orientation val="minMax"/>
        </c:scaling>
        <c:delete val="0"/>
        <c:axPos val="r"/>
        <c:majorGridlines/>
        <c:title>
          <c:tx>
            <c:rich>
              <a:bodyPr rot="-5400000" vert="horz"/>
              <a:lstStyle/>
              <a:p>
                <a:pPr>
                  <a:defRPr/>
                </a:pPr>
                <a:r>
                  <a:rPr lang="en-US" sz="1400"/>
                  <a:t>Solar</a:t>
                </a:r>
                <a:r>
                  <a:rPr lang="en-US" sz="1400" baseline="0"/>
                  <a:t> Altitude</a:t>
                </a:r>
                <a:endParaRPr lang="en-US" sz="1400"/>
              </a:p>
            </c:rich>
          </c:tx>
          <c:layout>
            <c:manualLayout>
              <c:xMode val="edge"/>
              <c:yMode val="edge"/>
              <c:x val="0.96474839250207201"/>
              <c:y val="0.401222666838776"/>
            </c:manualLayout>
          </c:layout>
          <c:overlay val="0"/>
        </c:title>
        <c:numFmt formatCode="0.00" sourceLinked="1"/>
        <c:majorTickMark val="none"/>
        <c:minorTickMark val="none"/>
        <c:tickLblPos val="low"/>
        <c:crossAx val="2114466120"/>
        <c:crosses val="autoZero"/>
        <c:crossBetween val="midCat"/>
        <c:majorUnit val="5"/>
      </c:valAx>
      <c:valAx>
        <c:axId val="2114477432"/>
        <c:scaling>
          <c:orientation val="minMax"/>
          <c:min val="0"/>
        </c:scaling>
        <c:delete val="0"/>
        <c:axPos val="l"/>
        <c:title>
          <c:tx>
            <c:rich>
              <a:bodyPr rot="-5400000" vert="horz"/>
              <a:lstStyle/>
              <a:p>
                <a:pPr>
                  <a:defRPr/>
                </a:pPr>
                <a:r>
                  <a:rPr lang="en-US" sz="1400"/>
                  <a:t>Insolation</a:t>
                </a:r>
              </a:p>
            </c:rich>
          </c:tx>
          <c:layout>
            <c:manualLayout>
              <c:xMode val="edge"/>
              <c:yMode val="edge"/>
              <c:x val="1.13857604891921E-2"/>
              <c:y val="0.45397082741706501"/>
            </c:manualLayout>
          </c:layout>
          <c:overlay val="0"/>
        </c:title>
        <c:numFmt formatCode="0.00" sourceLinked="1"/>
        <c:majorTickMark val="out"/>
        <c:minorTickMark val="none"/>
        <c:tickLblPos val="nextTo"/>
        <c:crossAx val="2114482808"/>
        <c:crosses val="autoZero"/>
        <c:crossBetween val="midCat"/>
        <c:majorUnit val="50"/>
      </c:valAx>
      <c:valAx>
        <c:axId val="2114482808"/>
        <c:scaling>
          <c:orientation val="minMax"/>
          <c:max val="20"/>
          <c:min val="4"/>
        </c:scaling>
        <c:delete val="0"/>
        <c:axPos val="t"/>
        <c:title>
          <c:tx>
            <c:rich>
              <a:bodyPr/>
              <a:lstStyle/>
              <a:p>
                <a:pPr>
                  <a:defRPr/>
                </a:pPr>
                <a:r>
                  <a:rPr lang="en-US" sz="1400"/>
                  <a:t>Azimuth</a:t>
                </a:r>
                <a:r>
                  <a:rPr lang="en-US" sz="1400" baseline="0"/>
                  <a:t> Angle</a:t>
                </a:r>
                <a:endParaRPr lang="en-US" sz="1400"/>
              </a:p>
            </c:rich>
          </c:tx>
          <c:overlay val="0"/>
        </c:title>
        <c:numFmt formatCode="General" sourceLinked="1"/>
        <c:majorTickMark val="out"/>
        <c:minorTickMark val="none"/>
        <c:tickLblPos val="low"/>
        <c:crossAx val="2114477432"/>
        <c:crosses val="max"/>
        <c:crossBetween val="midCat"/>
        <c:majorUnit val="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Graph!$A$1</c:f>
              <c:strCache>
                <c:ptCount val="1"/>
                <c:pt idx="0">
                  <c:v> Time</c:v>
                </c:pt>
              </c:strCache>
            </c:strRef>
          </c:tx>
          <c:trendline>
            <c:trendlineType val="poly"/>
            <c:order val="3"/>
            <c:dispRSqr val="0"/>
            <c:dispEq val="1"/>
            <c:trendlineLbl>
              <c:numFmt formatCode="General" sourceLinked="0"/>
            </c:trendlineLbl>
          </c:trendline>
          <c:xVal>
            <c:numRef>
              <c:f>Graph!$A$2:$A$32</c:f>
              <c:numCache>
                <c:formatCode>General</c:formatCode>
                <c:ptCount val="31"/>
                <c:pt idx="0">
                  <c:v>4.5</c:v>
                </c:pt>
                <c:pt idx="1">
                  <c:v>5</c:v>
                </c:pt>
                <c:pt idx="2">
                  <c:v>5.5</c:v>
                </c:pt>
                <c:pt idx="3">
                  <c:v>6</c:v>
                </c:pt>
                <c:pt idx="4">
                  <c:v>6.5</c:v>
                </c:pt>
                <c:pt idx="5">
                  <c:v>7</c:v>
                </c:pt>
                <c:pt idx="6">
                  <c:v>7.5</c:v>
                </c:pt>
                <c:pt idx="7">
                  <c:v>8</c:v>
                </c:pt>
                <c:pt idx="8">
                  <c:v>8.5</c:v>
                </c:pt>
                <c:pt idx="9">
                  <c:v>9</c:v>
                </c:pt>
                <c:pt idx="10">
                  <c:v>9.5</c:v>
                </c:pt>
                <c:pt idx="11">
                  <c:v>10</c:v>
                </c:pt>
                <c:pt idx="12">
                  <c:v>10.5</c:v>
                </c:pt>
                <c:pt idx="13">
                  <c:v>11</c:v>
                </c:pt>
                <c:pt idx="14">
                  <c:v>11.5</c:v>
                </c:pt>
                <c:pt idx="15">
                  <c:v>12</c:v>
                </c:pt>
                <c:pt idx="16">
                  <c:v>12.5</c:v>
                </c:pt>
                <c:pt idx="17">
                  <c:v>13</c:v>
                </c:pt>
                <c:pt idx="18">
                  <c:v>13.5</c:v>
                </c:pt>
                <c:pt idx="19">
                  <c:v>14</c:v>
                </c:pt>
                <c:pt idx="20">
                  <c:v>14.5</c:v>
                </c:pt>
                <c:pt idx="21">
                  <c:v>15</c:v>
                </c:pt>
                <c:pt idx="22">
                  <c:v>15.5</c:v>
                </c:pt>
                <c:pt idx="23">
                  <c:v>16</c:v>
                </c:pt>
                <c:pt idx="24">
                  <c:v>16.5</c:v>
                </c:pt>
                <c:pt idx="25">
                  <c:v>17</c:v>
                </c:pt>
                <c:pt idx="26">
                  <c:v>17.5</c:v>
                </c:pt>
                <c:pt idx="27">
                  <c:v>18</c:v>
                </c:pt>
                <c:pt idx="28">
                  <c:v>18.5</c:v>
                </c:pt>
                <c:pt idx="29">
                  <c:v>19</c:v>
                </c:pt>
                <c:pt idx="30">
                  <c:v>19.5</c:v>
                </c:pt>
              </c:numCache>
            </c:numRef>
          </c:xVal>
          <c:yVal>
            <c:numRef>
              <c:f>Graph!$D$2:$D$32</c:f>
              <c:numCache>
                <c:formatCode>0.00</c:formatCode>
                <c:ptCount val="31"/>
                <c:pt idx="0">
                  <c:v>0</c:v>
                </c:pt>
                <c:pt idx="1">
                  <c:v>21.330251603928545</c:v>
                </c:pt>
                <c:pt idx="2">
                  <c:v>255.85521607712755</c:v>
                </c:pt>
                <c:pt idx="3">
                  <c:v>450.59906074971565</c:v>
                </c:pt>
                <c:pt idx="4">
                  <c:v>577.16827150589779</c:v>
                </c:pt>
                <c:pt idx="5">
                  <c:v>661.91088166891188</c:v>
                </c:pt>
                <c:pt idx="6">
                  <c:v>721.13667917955854</c:v>
                </c:pt>
                <c:pt idx="7">
                  <c:v>763.95531634958468</c:v>
                </c:pt>
                <c:pt idx="8">
                  <c:v>795.64515908117096</c:v>
                </c:pt>
                <c:pt idx="9">
                  <c:v>819.41467747467846</c:v>
                </c:pt>
                <c:pt idx="10">
                  <c:v>837.29534768075985</c:v>
                </c:pt>
                <c:pt idx="11">
                  <c:v>850.6120287102292</c:v>
                </c:pt>
                <c:pt idx="12">
                  <c:v>860.24215969044008</c:v>
                </c:pt>
                <c:pt idx="13">
                  <c:v>866.76394608455882</c:v>
                </c:pt>
                <c:pt idx="14">
                  <c:v>870.54275966790544</c:v>
                </c:pt>
                <c:pt idx="15">
                  <c:v>871.78078508519502</c:v>
                </c:pt>
                <c:pt idx="16">
                  <c:v>870.54275966790544</c:v>
                </c:pt>
                <c:pt idx="17">
                  <c:v>866.76394608455882</c:v>
                </c:pt>
                <c:pt idx="18">
                  <c:v>860.24215969044008</c:v>
                </c:pt>
                <c:pt idx="19">
                  <c:v>850.6120287102292</c:v>
                </c:pt>
                <c:pt idx="20">
                  <c:v>837.29534768075985</c:v>
                </c:pt>
                <c:pt idx="21">
                  <c:v>819.41467747467846</c:v>
                </c:pt>
                <c:pt idx="22">
                  <c:v>795.64515908117096</c:v>
                </c:pt>
                <c:pt idx="23">
                  <c:v>763.95531634958468</c:v>
                </c:pt>
                <c:pt idx="24">
                  <c:v>721.13667917955854</c:v>
                </c:pt>
                <c:pt idx="25">
                  <c:v>661.91088166891188</c:v>
                </c:pt>
                <c:pt idx="26">
                  <c:v>577.16827150589779</c:v>
                </c:pt>
                <c:pt idx="27">
                  <c:v>450.59906074971565</c:v>
                </c:pt>
                <c:pt idx="28">
                  <c:v>255.85521607712755</c:v>
                </c:pt>
                <c:pt idx="29">
                  <c:v>21.330251603928545</c:v>
                </c:pt>
                <c:pt idx="30">
                  <c:v>0</c:v>
                </c:pt>
              </c:numCache>
            </c:numRef>
          </c:yVal>
          <c:smooth val="1"/>
          <c:extLst>
            <c:ext xmlns:c16="http://schemas.microsoft.com/office/drawing/2014/chart" uri="{C3380CC4-5D6E-409C-BE32-E72D297353CC}">
              <c16:uniqueId val="{00000001-5ACF-4370-993D-F42332DB16D5}"/>
            </c:ext>
          </c:extLst>
        </c:ser>
        <c:dLbls>
          <c:showLegendKey val="0"/>
          <c:showVal val="0"/>
          <c:showCatName val="0"/>
          <c:showSerName val="0"/>
          <c:showPercent val="0"/>
          <c:showBubbleSize val="0"/>
        </c:dLbls>
        <c:axId val="2098239480"/>
        <c:axId val="2098236760"/>
      </c:scatterChart>
      <c:valAx>
        <c:axId val="2098239480"/>
        <c:scaling>
          <c:orientation val="minMax"/>
        </c:scaling>
        <c:delete val="0"/>
        <c:axPos val="b"/>
        <c:numFmt formatCode="General" sourceLinked="1"/>
        <c:majorTickMark val="out"/>
        <c:minorTickMark val="none"/>
        <c:tickLblPos val="nextTo"/>
        <c:crossAx val="2098236760"/>
        <c:crosses val="autoZero"/>
        <c:crossBetween val="midCat"/>
      </c:valAx>
      <c:valAx>
        <c:axId val="2098236760"/>
        <c:scaling>
          <c:orientation val="minMax"/>
        </c:scaling>
        <c:delete val="0"/>
        <c:axPos val="l"/>
        <c:majorGridlines/>
        <c:numFmt formatCode="0.00" sourceLinked="1"/>
        <c:majorTickMark val="out"/>
        <c:minorTickMark val="none"/>
        <c:tickLblPos val="nextTo"/>
        <c:crossAx val="2098239480"/>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85725</xdr:rowOff>
    </xdr:from>
    <xdr:to>
      <xdr:col>11</xdr:col>
      <xdr:colOff>549275</xdr:colOff>
      <xdr:row>13</xdr:row>
      <xdr:rowOff>104775</xdr:rowOff>
    </xdr:to>
    <xdr:pic>
      <xdr:nvPicPr>
        <xdr:cNvPr id="2055" name="Picture 1">
          <a:extLst>
            <a:ext uri="{FF2B5EF4-FFF2-40B4-BE49-F238E27FC236}">
              <a16:creationId xmlns:a16="http://schemas.microsoft.com/office/drawing/2014/main" id="{00000000-0008-0000-0000-000007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3879"/>
        <a:stretch>
          <a:fillRect/>
        </a:stretch>
      </xdr:blipFill>
      <xdr:spPr bwMode="auto">
        <a:xfrm>
          <a:off x="428625" y="85725"/>
          <a:ext cx="6962775" cy="2124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228600</xdr:colOff>
      <xdr:row>24</xdr:row>
      <xdr:rowOff>12377</xdr:rowOff>
    </xdr:from>
    <xdr:to>
      <xdr:col>16</xdr:col>
      <xdr:colOff>475192</xdr:colOff>
      <xdr:row>34</xdr:row>
      <xdr:rowOff>190499</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0325" y="4908227"/>
          <a:ext cx="3581400" cy="220694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9524</xdr:colOff>
      <xdr:row>9</xdr:row>
      <xdr:rowOff>41581</xdr:rowOff>
    </xdr:from>
    <xdr:to>
      <xdr:col>13</xdr:col>
      <xdr:colOff>590549</xdr:colOff>
      <xdr:row>20</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1574" y="1898956"/>
          <a:ext cx="3590925" cy="220631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38100</xdr:rowOff>
    </xdr:from>
    <xdr:to>
      <xdr:col>14</xdr:col>
      <xdr:colOff>304800</xdr:colOff>
      <xdr:row>28</xdr:row>
      <xdr:rowOff>9525</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335228</xdr:colOff>
      <xdr:row>0</xdr:row>
      <xdr:rowOff>86518</xdr:rowOff>
    </xdr:from>
    <xdr:to>
      <xdr:col>22</xdr:col>
      <xdr:colOff>163777</xdr:colOff>
      <xdr:row>17</xdr:row>
      <xdr:rowOff>43655</xdr:rowOff>
    </xdr:to>
    <xdr:graphicFrame macro="">
      <xdr:nvGraphicFramePr>
        <xdr:cNvPr id="3" name="Chart 7">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28</xdr:row>
      <xdr:rowOff>97367</xdr:rowOff>
    </xdr:from>
    <xdr:to>
      <xdr:col>14</xdr:col>
      <xdr:colOff>306916</xdr:colOff>
      <xdr:row>56</xdr:row>
      <xdr:rowOff>68792</xdr:rowOff>
    </xdr:to>
    <xdr:graphicFrame macro="">
      <xdr:nvGraphicFramePr>
        <xdr:cNvPr id="4" name="Chart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328082</xdr:colOff>
      <xdr:row>18</xdr:row>
      <xdr:rowOff>21168</xdr:rowOff>
    </xdr:from>
    <xdr:to>
      <xdr:col>27</xdr:col>
      <xdr:colOff>63500</xdr:colOff>
      <xdr:row>54</xdr:row>
      <xdr:rowOff>116418</xdr:rowOff>
    </xdr:to>
    <xdr:graphicFrame macro="">
      <xdr:nvGraphicFramePr>
        <xdr:cNvPr id="5" name="Chart 11">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31</xdr:col>
      <xdr:colOff>219074</xdr:colOff>
      <xdr:row>14</xdr:row>
      <xdr:rowOff>57150</xdr:rowOff>
    </xdr:from>
    <xdr:to>
      <xdr:col>37</xdr:col>
      <xdr:colOff>333375</xdr:colOff>
      <xdr:row>32</xdr:row>
      <xdr:rowOff>161925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youtube.com/playlist?list=PL89870B418A514D27"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59999389629810485"/>
  </sheetPr>
  <dimension ref="A1:Q54"/>
  <sheetViews>
    <sheetView workbookViewId="0">
      <selection activeCell="D38" sqref="D38"/>
    </sheetView>
  </sheetViews>
  <sheetFormatPr baseColWidth="10" defaultColWidth="8.83203125" defaultRowHeight="13" x14ac:dyDescent="0.15"/>
  <cols>
    <col min="7" max="7" width="11.33203125" bestFit="1" customWidth="1"/>
  </cols>
  <sheetData>
    <row r="1" spans="1:13" x14ac:dyDescent="0.15">
      <c r="A1" s="228"/>
      <c r="B1" s="228"/>
      <c r="C1" s="228"/>
      <c r="D1" s="228"/>
      <c r="E1" s="228"/>
      <c r="F1" s="228"/>
      <c r="G1" s="228"/>
      <c r="H1" s="228"/>
      <c r="I1" s="228"/>
      <c r="J1" s="228"/>
      <c r="K1" s="228"/>
      <c r="L1" s="228"/>
      <c r="M1" s="228"/>
    </row>
    <row r="2" spans="1:13" x14ac:dyDescent="0.15">
      <c r="A2" s="228"/>
      <c r="B2" s="228"/>
      <c r="C2" s="228"/>
      <c r="D2" s="228"/>
      <c r="E2" s="228"/>
      <c r="F2" s="228"/>
      <c r="G2" s="228"/>
      <c r="H2" s="228"/>
      <c r="I2" s="228"/>
      <c r="J2" s="228"/>
      <c r="K2" s="228"/>
      <c r="L2" s="228"/>
      <c r="M2" s="228"/>
    </row>
    <row r="3" spans="1:13" x14ac:dyDescent="0.15">
      <c r="A3" s="228"/>
      <c r="B3" s="228"/>
      <c r="C3" s="228"/>
      <c r="D3" s="228"/>
      <c r="E3" s="228"/>
      <c r="F3" s="228"/>
      <c r="G3" s="228"/>
      <c r="H3" s="228"/>
      <c r="I3" s="228"/>
      <c r="J3" s="228"/>
      <c r="K3" s="228"/>
      <c r="L3" s="228"/>
      <c r="M3" s="228"/>
    </row>
    <row r="4" spans="1:13" x14ac:dyDescent="0.15">
      <c r="A4" s="228"/>
      <c r="B4" s="228"/>
      <c r="C4" s="228"/>
      <c r="D4" s="228"/>
      <c r="E4" s="228"/>
      <c r="F4" s="228"/>
      <c r="G4" s="228"/>
      <c r="H4" s="228"/>
      <c r="I4" s="228"/>
      <c r="J4" s="228"/>
      <c r="K4" s="228"/>
      <c r="L4" s="228"/>
      <c r="M4" s="228"/>
    </row>
    <row r="5" spans="1:13" x14ac:dyDescent="0.15">
      <c r="A5" s="228"/>
      <c r="B5" s="228"/>
      <c r="C5" s="228"/>
      <c r="D5" s="228"/>
      <c r="E5" s="228"/>
      <c r="F5" s="228"/>
      <c r="G5" s="228"/>
      <c r="H5" s="228"/>
      <c r="I5" s="228"/>
      <c r="J5" s="228"/>
      <c r="K5" s="228"/>
      <c r="L5" s="228"/>
      <c r="M5" s="228"/>
    </row>
    <row r="6" spans="1:13" x14ac:dyDescent="0.15">
      <c r="A6" s="228"/>
      <c r="B6" s="228"/>
      <c r="C6" s="228"/>
      <c r="D6" s="228"/>
      <c r="E6" s="228"/>
      <c r="F6" s="228"/>
      <c r="G6" s="228"/>
      <c r="H6" s="228"/>
      <c r="I6" s="228"/>
      <c r="J6" s="228"/>
      <c r="K6" s="228"/>
      <c r="L6" s="228"/>
      <c r="M6" s="228"/>
    </row>
    <row r="7" spans="1:13" x14ac:dyDescent="0.15">
      <c r="A7" s="228"/>
      <c r="B7" s="228"/>
      <c r="C7" s="228"/>
      <c r="D7" s="228"/>
      <c r="E7" s="228"/>
      <c r="F7" s="228"/>
      <c r="G7" s="228"/>
      <c r="H7" s="228"/>
      <c r="I7" s="228"/>
      <c r="J7" s="228"/>
      <c r="K7" s="228"/>
      <c r="L7" s="228"/>
      <c r="M7" s="228"/>
    </row>
    <row r="8" spans="1:13" x14ac:dyDescent="0.15">
      <c r="A8" s="228"/>
      <c r="B8" s="228"/>
      <c r="C8" s="228"/>
      <c r="D8" s="228"/>
      <c r="E8" s="228"/>
      <c r="F8" s="228"/>
      <c r="G8" s="228"/>
      <c r="H8" s="228"/>
      <c r="I8" s="228"/>
      <c r="J8" s="228"/>
      <c r="K8" s="228"/>
      <c r="L8" s="228"/>
      <c r="M8" s="228"/>
    </row>
    <row r="9" spans="1:13" x14ac:dyDescent="0.15">
      <c r="A9" s="228"/>
      <c r="B9" s="228"/>
      <c r="C9" s="228"/>
      <c r="D9" s="228"/>
      <c r="E9" s="228"/>
      <c r="F9" s="228"/>
      <c r="G9" s="228"/>
      <c r="H9" s="228"/>
      <c r="I9" s="228"/>
      <c r="J9" s="228"/>
      <c r="K9" s="228"/>
      <c r="L9" s="228"/>
      <c r="M9" s="228"/>
    </row>
    <row r="10" spans="1:13" x14ac:dyDescent="0.15">
      <c r="A10" s="228"/>
      <c r="B10" s="228"/>
      <c r="C10" s="228"/>
      <c r="D10" s="228"/>
      <c r="E10" s="228"/>
      <c r="F10" s="228"/>
      <c r="G10" s="228"/>
      <c r="H10" s="228"/>
      <c r="I10" s="228"/>
      <c r="J10" s="228"/>
      <c r="K10" s="228"/>
      <c r="L10" s="228"/>
      <c r="M10" s="228"/>
    </row>
    <row r="11" spans="1:13" x14ac:dyDescent="0.15">
      <c r="A11" s="228"/>
      <c r="B11" s="228"/>
      <c r="C11" s="228"/>
      <c r="D11" s="228"/>
      <c r="E11" s="228"/>
      <c r="F11" s="228"/>
      <c r="G11" s="228"/>
      <c r="H11" s="228"/>
      <c r="I11" s="228"/>
      <c r="J11" s="228"/>
      <c r="K11" s="228"/>
      <c r="L11" s="228"/>
      <c r="M11" s="228"/>
    </row>
    <row r="12" spans="1:13" x14ac:dyDescent="0.15">
      <c r="A12" s="228"/>
      <c r="B12" s="228"/>
      <c r="C12" s="228"/>
      <c r="D12" s="228"/>
      <c r="E12" s="228"/>
      <c r="F12" s="228"/>
      <c r="G12" s="228"/>
      <c r="H12" s="228"/>
      <c r="I12" s="228"/>
      <c r="J12" s="228"/>
      <c r="K12" s="228"/>
      <c r="L12" s="228"/>
      <c r="M12" s="228"/>
    </row>
    <row r="13" spans="1:13" x14ac:dyDescent="0.15">
      <c r="A13" s="228"/>
      <c r="B13" s="228"/>
      <c r="C13" s="228"/>
      <c r="D13" s="228"/>
      <c r="E13" s="228"/>
      <c r="F13" s="228"/>
      <c r="G13" s="228"/>
      <c r="H13" s="228"/>
      <c r="I13" s="228"/>
      <c r="J13" s="228"/>
      <c r="K13" s="228"/>
      <c r="L13" s="228"/>
      <c r="M13" s="228"/>
    </row>
    <row r="14" spans="1:13" x14ac:dyDescent="0.15">
      <c r="A14" s="228"/>
      <c r="B14" s="228"/>
      <c r="C14" s="228"/>
      <c r="D14" s="228"/>
      <c r="E14" s="228"/>
      <c r="F14" s="228"/>
      <c r="G14" s="228"/>
      <c r="H14" s="228"/>
      <c r="I14" s="228"/>
      <c r="J14" s="228"/>
      <c r="K14" s="228"/>
      <c r="L14" s="228"/>
      <c r="M14" s="228"/>
    </row>
    <row r="15" spans="1:13" ht="33" x14ac:dyDescent="0.35">
      <c r="A15" s="229" t="s">
        <v>1</v>
      </c>
      <c r="B15" s="229"/>
      <c r="C15" s="229"/>
      <c r="D15" s="229"/>
      <c r="E15" s="229"/>
      <c r="F15" s="229"/>
      <c r="G15" s="229"/>
      <c r="H15" s="229"/>
      <c r="I15" s="229"/>
      <c r="J15" s="229"/>
      <c r="K15" s="229"/>
      <c r="L15" s="229"/>
      <c r="M15" s="229"/>
    </row>
    <row r="16" spans="1:13" s="1" customFormat="1" ht="16" x14ac:dyDescent="0.2">
      <c r="B16" s="227" t="s">
        <v>211</v>
      </c>
      <c r="C16" s="227"/>
      <c r="D16" s="227"/>
      <c r="E16" s="227"/>
      <c r="F16" s="227"/>
      <c r="G16" s="227"/>
      <c r="H16" s="227"/>
      <c r="I16" s="227"/>
      <c r="J16" s="227"/>
      <c r="K16" s="227"/>
      <c r="L16" s="227"/>
    </row>
    <row r="17" spans="2:17" s="1" customFormat="1" ht="16" x14ac:dyDescent="0.2">
      <c r="B17" s="227" t="s">
        <v>2</v>
      </c>
      <c r="C17" s="227"/>
      <c r="D17" s="227"/>
      <c r="E17" s="227"/>
      <c r="F17" s="227"/>
      <c r="G17" s="227"/>
      <c r="H17" s="227"/>
      <c r="I17" s="227"/>
      <c r="J17" s="227"/>
      <c r="K17" s="227"/>
      <c r="L17" s="227"/>
    </row>
    <row r="18" spans="2:17" s="1" customFormat="1" ht="16" x14ac:dyDescent="0.2">
      <c r="G18" s="15">
        <f ca="1">TODAY()</f>
        <v>45061</v>
      </c>
    </row>
    <row r="19" spans="2:17" s="2" customFormat="1" ht="16" x14ac:dyDescent="0.2">
      <c r="B19" s="49"/>
      <c r="C19" s="3" t="s">
        <v>216</v>
      </c>
      <c r="D19" s="4"/>
      <c r="E19" s="4"/>
      <c r="F19" s="4"/>
      <c r="G19" s="4"/>
      <c r="H19" s="4"/>
      <c r="I19" s="4"/>
      <c r="J19" s="4"/>
      <c r="K19" s="4"/>
      <c r="L19" s="4"/>
      <c r="M19" s="4"/>
      <c r="N19" s="4"/>
      <c r="O19" s="4"/>
      <c r="P19" s="16"/>
      <c r="Q19" s="16"/>
    </row>
    <row r="20" spans="2:17" s="2" customFormat="1" ht="17" thickBot="1" x14ac:dyDescent="0.25">
      <c r="B20" s="49"/>
      <c r="C20" s="4" t="s">
        <v>3</v>
      </c>
      <c r="D20" s="4"/>
      <c r="E20" s="4"/>
      <c r="F20" s="4"/>
      <c r="G20" s="4"/>
      <c r="H20" s="4"/>
      <c r="I20" s="4"/>
      <c r="J20" s="4"/>
      <c r="K20" s="4"/>
      <c r="L20" s="4"/>
      <c r="M20" s="4"/>
      <c r="N20" s="4"/>
      <c r="O20" s="4"/>
      <c r="P20" s="16"/>
      <c r="Q20" s="16"/>
    </row>
    <row r="21" spans="2:17" s="2" customFormat="1" ht="16" x14ac:dyDescent="0.2">
      <c r="B21" s="49"/>
      <c r="C21" s="5" t="s">
        <v>4</v>
      </c>
      <c r="D21" s="6"/>
      <c r="E21" s="6"/>
      <c r="F21" s="6"/>
      <c r="G21" s="6"/>
      <c r="H21" s="6"/>
      <c r="I21" s="6"/>
      <c r="J21" s="6"/>
      <c r="K21" s="6"/>
      <c r="L21" s="7"/>
      <c r="M21" s="4"/>
      <c r="N21" s="4"/>
      <c r="O21" s="4"/>
      <c r="P21" s="16"/>
      <c r="Q21" s="16"/>
    </row>
    <row r="22" spans="2:17" s="2" customFormat="1" ht="16" x14ac:dyDescent="0.2">
      <c r="B22" s="49"/>
      <c r="C22" s="8" t="s">
        <v>5</v>
      </c>
      <c r="D22" s="9"/>
      <c r="E22" s="9"/>
      <c r="F22" s="9"/>
      <c r="G22" s="9"/>
      <c r="H22" s="9"/>
      <c r="I22" s="9"/>
      <c r="J22" s="9"/>
      <c r="K22" s="9"/>
      <c r="L22" s="10"/>
      <c r="M22" s="4"/>
      <c r="N22" s="4"/>
      <c r="O22" s="4"/>
      <c r="P22" s="16"/>
      <c r="Q22" s="16"/>
    </row>
    <row r="23" spans="2:17" s="2" customFormat="1" ht="16" x14ac:dyDescent="0.2">
      <c r="B23" s="49"/>
      <c r="C23" s="8" t="s">
        <v>6</v>
      </c>
      <c r="D23" s="9"/>
      <c r="E23" s="9"/>
      <c r="F23" s="9"/>
      <c r="G23" s="9"/>
      <c r="H23" s="9"/>
      <c r="I23" s="9"/>
      <c r="J23" s="9"/>
      <c r="K23" s="9"/>
      <c r="L23" s="10"/>
      <c r="M23" s="4"/>
      <c r="N23" s="4"/>
      <c r="O23" s="4"/>
      <c r="P23" s="16"/>
      <c r="Q23" s="16"/>
    </row>
    <row r="24" spans="2:17" s="2" customFormat="1" ht="17" thickBot="1" x14ac:dyDescent="0.25">
      <c r="B24" s="49"/>
      <c r="C24" s="11" t="s">
        <v>7</v>
      </c>
      <c r="D24" s="12"/>
      <c r="E24" s="12"/>
      <c r="F24" s="12"/>
      <c r="G24" s="12"/>
      <c r="H24" s="12"/>
      <c r="I24" s="12"/>
      <c r="J24" s="12"/>
      <c r="K24" s="12"/>
      <c r="L24" s="13"/>
      <c r="M24" s="4"/>
      <c r="N24" s="4"/>
      <c r="O24" s="4"/>
      <c r="P24" s="16"/>
      <c r="Q24" s="16"/>
    </row>
    <row r="25" spans="2:17" s="2" customFormat="1" ht="17" thickBot="1" x14ac:dyDescent="0.25">
      <c r="B25" s="49"/>
      <c r="C25" s="4"/>
      <c r="D25" s="4"/>
      <c r="E25" s="4"/>
      <c r="F25" s="4"/>
      <c r="G25" s="4"/>
      <c r="H25" s="4"/>
      <c r="I25" s="4"/>
      <c r="J25" s="4"/>
      <c r="K25" s="4"/>
      <c r="L25" s="4"/>
      <c r="M25" s="4"/>
      <c r="N25" s="4"/>
      <c r="O25" s="4"/>
      <c r="P25" s="16"/>
      <c r="Q25" s="16"/>
    </row>
    <row r="26" spans="2:17" s="2" customFormat="1" ht="15.75" customHeight="1" x14ac:dyDescent="0.2">
      <c r="B26" s="49"/>
      <c r="C26" s="230" t="s">
        <v>212</v>
      </c>
      <c r="D26" s="231"/>
      <c r="E26" s="231"/>
      <c r="F26" s="231"/>
      <c r="G26" s="231"/>
      <c r="H26" s="231"/>
      <c r="I26" s="231"/>
      <c r="J26" s="231"/>
      <c r="K26" s="231"/>
      <c r="L26" s="232"/>
      <c r="M26" s="4"/>
      <c r="N26" s="4"/>
      <c r="O26" s="4"/>
      <c r="P26" s="16"/>
      <c r="Q26" s="16"/>
    </row>
    <row r="27" spans="2:17" s="2" customFormat="1" ht="16" x14ac:dyDescent="0.2">
      <c r="B27" s="49"/>
      <c r="C27" s="233" t="s">
        <v>213</v>
      </c>
      <c r="D27" s="234"/>
      <c r="E27" s="234"/>
      <c r="F27" s="234"/>
      <c r="G27" s="234"/>
      <c r="H27" s="234"/>
      <c r="I27" s="234"/>
      <c r="J27" s="234"/>
      <c r="K27" s="234"/>
      <c r="L27" s="235"/>
      <c r="M27" s="4"/>
      <c r="N27" s="4"/>
      <c r="O27" s="4"/>
      <c r="P27" s="16"/>
      <c r="Q27" s="16"/>
    </row>
    <row r="28" spans="2:17" s="2" customFormat="1" ht="17" thickBot="1" x14ac:dyDescent="0.25">
      <c r="B28" s="49"/>
      <c r="C28" s="236" t="s">
        <v>214</v>
      </c>
      <c r="D28" s="237"/>
      <c r="E28" s="237"/>
      <c r="F28" s="237"/>
      <c r="G28" s="237"/>
      <c r="H28" s="237"/>
      <c r="I28" s="237"/>
      <c r="J28" s="237"/>
      <c r="K28" s="237"/>
      <c r="L28" s="238"/>
      <c r="M28" s="220"/>
      <c r="N28" s="220"/>
      <c r="O28" s="220"/>
      <c r="P28" s="16"/>
      <c r="Q28" s="16"/>
    </row>
    <row r="29" spans="2:17" s="2" customFormat="1" ht="12.75" customHeight="1" x14ac:dyDescent="0.2">
      <c r="B29" s="16"/>
      <c r="C29" s="18"/>
      <c r="D29" s="18"/>
      <c r="E29" s="18"/>
      <c r="F29" s="18"/>
      <c r="G29" s="18"/>
      <c r="H29" s="18"/>
      <c r="I29" s="18"/>
      <c r="J29" s="18"/>
      <c r="K29" s="18"/>
      <c r="L29" s="18"/>
      <c r="M29" s="18"/>
      <c r="N29" s="18"/>
      <c r="O29" s="18"/>
      <c r="P29" s="16"/>
      <c r="Q29" s="16"/>
    </row>
    <row r="30" spans="2:17" s="2" customFormat="1" ht="16" x14ac:dyDescent="0.2">
      <c r="B30" s="16"/>
      <c r="C30" s="4" t="s">
        <v>8</v>
      </c>
      <c r="D30" s="14"/>
      <c r="E30" s="14"/>
      <c r="F30" s="226" t="s">
        <v>9</v>
      </c>
      <c r="G30" s="226"/>
      <c r="H30" s="226"/>
      <c r="I30" s="226"/>
      <c r="J30" s="226"/>
      <c r="K30" s="226"/>
      <c r="L30" s="17"/>
      <c r="M30" s="14"/>
      <c r="N30" s="4"/>
      <c r="O30" s="4"/>
      <c r="P30" s="16"/>
      <c r="Q30" s="16"/>
    </row>
    <row r="31" spans="2:17" s="1" customFormat="1" ht="16" x14ac:dyDescent="0.2"/>
    <row r="32" spans="2:17" s="1" customFormat="1" ht="16" x14ac:dyDescent="0.2"/>
    <row r="33" s="1" customFormat="1" ht="16" x14ac:dyDescent="0.2"/>
    <row r="34" s="1" customFormat="1" ht="16" x14ac:dyDescent="0.2"/>
    <row r="35" s="1" customFormat="1" ht="16" x14ac:dyDescent="0.2"/>
    <row r="36" s="1" customFormat="1" ht="16" x14ac:dyDescent="0.2"/>
    <row r="37" s="1" customFormat="1" ht="16" x14ac:dyDescent="0.2"/>
    <row r="38" s="1" customFormat="1" ht="16" x14ac:dyDescent="0.2"/>
    <row r="39" s="1" customFormat="1" ht="16" x14ac:dyDescent="0.2"/>
    <row r="40" s="1" customFormat="1" ht="16" x14ac:dyDescent="0.2"/>
    <row r="41" s="1" customFormat="1" ht="16" x14ac:dyDescent="0.2"/>
    <row r="42" s="1" customFormat="1" ht="16" x14ac:dyDescent="0.2"/>
    <row r="43" s="1" customFormat="1" ht="16" x14ac:dyDescent="0.2"/>
    <row r="44" s="1" customFormat="1" ht="16" x14ac:dyDescent="0.2"/>
    <row r="45" s="1" customFormat="1" ht="16" x14ac:dyDescent="0.2"/>
    <row r="46" s="1" customFormat="1" ht="16" x14ac:dyDescent="0.2"/>
    <row r="47" s="1" customFormat="1" ht="16" x14ac:dyDescent="0.2"/>
    <row r="48" s="1" customFormat="1" ht="16" x14ac:dyDescent="0.2"/>
    <row r="49" spans="1:1" s="1" customFormat="1" ht="16" x14ac:dyDescent="0.2"/>
    <row r="50" spans="1:1" s="1" customFormat="1" ht="16" x14ac:dyDescent="0.2"/>
    <row r="51" spans="1:1" s="1" customFormat="1" ht="16" x14ac:dyDescent="0.2"/>
    <row r="52" spans="1:1" s="1" customFormat="1" ht="16" x14ac:dyDescent="0.2"/>
    <row r="53" spans="1:1" s="1" customFormat="1" ht="16" x14ac:dyDescent="0.2"/>
    <row r="54" spans="1:1" s="1" customFormat="1" ht="16" x14ac:dyDescent="0.2">
      <c r="A54" s="46" t="s">
        <v>9</v>
      </c>
    </row>
  </sheetData>
  <mergeCells count="8">
    <mergeCell ref="F30:K30"/>
    <mergeCell ref="B16:L16"/>
    <mergeCell ref="B17:L17"/>
    <mergeCell ref="A1:M14"/>
    <mergeCell ref="A15:M15"/>
    <mergeCell ref="C26:L26"/>
    <mergeCell ref="C27:L27"/>
    <mergeCell ref="C28:L28"/>
  </mergeCells>
  <dataValidations disablePrompts="1" count="2">
    <dataValidation type="custom" allowBlank="1" showInputMessage="1" showErrorMessage="1" errorTitle="Invalid Action" error="Do not change the content of this cell" sqref="L30" xr:uid="{00000000-0002-0000-0000-000000000000}">
      <formula1>#REF!</formula1>
    </dataValidation>
    <dataValidation type="custom" allowBlank="1" showInputMessage="1" showErrorMessage="1" errorTitle="Invalid Action" error="Do not change the content of this cell." sqref="F30" xr:uid="{00000000-0002-0000-0000-000001000000}">
      <formula1>A54</formula1>
    </dataValidation>
  </dataValidations>
  <hyperlinks>
    <hyperlink ref="F30" r:id="rId1" xr:uid="{00000000-0004-0000-0000-000000000000}"/>
  </hyperlinks>
  <pageMargins left="0.7" right="0.7" top="0.75" bottom="0.75" header="0.3" footer="0.3"/>
  <pageSetup orientation="portrait" horizontalDpi="1200" verticalDpi="120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AC37"/>
  <sheetViews>
    <sheetView workbookViewId="0">
      <selection activeCell="L9" sqref="L9"/>
    </sheetView>
  </sheetViews>
  <sheetFormatPr baseColWidth="10" defaultColWidth="9.1640625" defaultRowHeight="14" x14ac:dyDescent="0.15"/>
  <cols>
    <col min="1" max="1" width="12.5" style="19" customWidth="1"/>
    <col min="2" max="2" width="10.1640625" style="19" customWidth="1"/>
    <col min="3" max="3" width="10.33203125" style="19" customWidth="1"/>
    <col min="4" max="4" width="8.1640625" style="19" customWidth="1"/>
    <col min="5" max="5" width="9.5" style="19" customWidth="1"/>
    <col min="6" max="6" width="8.33203125" style="19" customWidth="1"/>
    <col min="7" max="7" width="5.5" style="19" customWidth="1"/>
    <col min="8" max="8" width="9" style="19" customWidth="1"/>
    <col min="9" max="9" width="6.1640625" style="19" customWidth="1"/>
    <col min="10" max="10" width="5" style="19" customWidth="1"/>
    <col min="11" max="11" width="9.1640625" style="19"/>
    <col min="12" max="12" width="10.5" style="19" bestFit="1" customWidth="1"/>
    <col min="13" max="13" width="8.5" style="19" customWidth="1"/>
    <col min="14" max="14" width="9.5" style="19" bestFit="1" customWidth="1"/>
    <col min="15" max="15" width="8.5" style="19" customWidth="1"/>
    <col min="16" max="16" width="13.1640625" style="19" bestFit="1" customWidth="1"/>
    <col min="17" max="17" width="10.5" style="19" bestFit="1" customWidth="1"/>
    <col min="18" max="25" width="9.1640625" style="19"/>
    <col min="26" max="26" width="10.5" style="19" hidden="1" customWidth="1"/>
    <col min="27" max="29" width="0" style="19" hidden="1" customWidth="1"/>
    <col min="30" max="16384" width="9.1640625" style="19"/>
  </cols>
  <sheetData>
    <row r="1" spans="1:29" ht="15.75" customHeight="1" x14ac:dyDescent="0.15">
      <c r="A1" s="273" t="s">
        <v>217</v>
      </c>
      <c r="B1" s="274"/>
      <c r="C1" s="274"/>
      <c r="D1" s="274"/>
      <c r="E1" s="274"/>
      <c r="F1" s="274"/>
      <c r="G1" s="274"/>
      <c r="H1" s="274"/>
      <c r="I1" s="274"/>
      <c r="J1" s="274"/>
      <c r="K1" s="274"/>
      <c r="L1" s="274"/>
      <c r="M1" s="274"/>
      <c r="N1" s="274"/>
      <c r="O1" s="274"/>
      <c r="P1" s="274"/>
      <c r="Q1" s="275"/>
      <c r="Z1" s="19" t="s">
        <v>27</v>
      </c>
      <c r="AA1" s="19">
        <v>1</v>
      </c>
      <c r="AB1" s="19">
        <f>IF(L9="January",1,IF(L9="February",1,IF(L9="March",1,IF(L9="April",1,IF(L9="May",1,IF(L9="June",1,IF(L9="July",1,IF(L9="August",1,IF(L9="September",1,IF(L9="October",1,IF(L9="November",1,IF(L9="December",1,0))))))))))))</f>
        <v>1</v>
      </c>
      <c r="AC1" s="19" t="s">
        <v>21</v>
      </c>
    </row>
    <row r="2" spans="1:29" ht="15.75" customHeight="1" thickBot="1" x14ac:dyDescent="0.2">
      <c r="A2" s="276"/>
      <c r="B2" s="277"/>
      <c r="C2" s="277"/>
      <c r="D2" s="277"/>
      <c r="E2" s="277"/>
      <c r="F2" s="277"/>
      <c r="G2" s="277"/>
      <c r="H2" s="277"/>
      <c r="I2" s="277"/>
      <c r="J2" s="277"/>
      <c r="K2" s="277"/>
      <c r="L2" s="277"/>
      <c r="M2" s="277"/>
      <c r="N2" s="277"/>
      <c r="O2" s="277"/>
      <c r="P2" s="277"/>
      <c r="Q2" s="278"/>
      <c r="Z2" s="19" t="s">
        <v>28</v>
      </c>
      <c r="AA2" s="19">
        <v>2</v>
      </c>
      <c r="AB2" s="19">
        <f>IF(L9="January",1,IF(L9="February",1,IF(L9="March",1,IF(L9="April",1,IF(L9="May",1,IF(L9="June",1,IF(L9="July",1,IF(L9="August",1,IF(L9="September",1,IF(L9="October",1,IF(L9="November",1,IF(L9="December",1,0))))))))))))</f>
        <v>1</v>
      </c>
      <c r="AC2" s="19" t="s">
        <v>20</v>
      </c>
    </row>
    <row r="3" spans="1:29" ht="16.5" customHeight="1" thickBot="1" x14ac:dyDescent="0.25">
      <c r="A3" s="265" t="s">
        <v>218</v>
      </c>
      <c r="B3" s="266"/>
      <c r="C3" s="266"/>
      <c r="D3" s="266"/>
      <c r="E3" s="266"/>
      <c r="F3" s="266"/>
      <c r="G3" s="266"/>
      <c r="H3" s="266"/>
      <c r="I3" s="266"/>
      <c r="J3" s="266"/>
      <c r="K3" s="267"/>
      <c r="L3" s="50"/>
      <c r="M3" s="51"/>
      <c r="N3" s="51"/>
      <c r="O3" s="51"/>
      <c r="P3" s="51"/>
      <c r="Q3" s="52"/>
      <c r="R3" s="29"/>
      <c r="S3" s="29"/>
      <c r="Z3" s="19" t="s">
        <v>29</v>
      </c>
      <c r="AA3" s="19">
        <v>3</v>
      </c>
      <c r="AB3" s="19">
        <f>IF(L9="January",1,IF(L9="February",1,IF(L9="March",1,IF(L9="April",1,IF(L9="May",1,IF(L9="June",1,IF(L9="July",1,IF(L9="August",1,IF(L9="September",1,IF(L9="October",1,IF(L9="November",1,IF(L9="December",1,0))))))))))))</f>
        <v>1</v>
      </c>
    </row>
    <row r="4" spans="1:29" ht="16.5" customHeight="1" thickBot="1" x14ac:dyDescent="0.25">
      <c r="A4" s="259"/>
      <c r="B4" s="260"/>
      <c r="C4" s="260"/>
      <c r="D4" s="260"/>
      <c r="E4" s="260"/>
      <c r="F4" s="260"/>
      <c r="G4" s="260"/>
      <c r="H4" s="260"/>
      <c r="I4" s="260"/>
      <c r="J4" s="260"/>
      <c r="K4" s="261"/>
      <c r="L4" s="252" t="s">
        <v>109</v>
      </c>
      <c r="M4" s="253"/>
      <c r="N4" s="253"/>
      <c r="O4" s="253"/>
      <c r="P4" s="53">
        <v>40</v>
      </c>
      <c r="Q4" s="54" t="s">
        <v>0</v>
      </c>
      <c r="Z4" s="19" t="s">
        <v>30</v>
      </c>
      <c r="AA4" s="19">
        <v>4</v>
      </c>
      <c r="AB4" s="19">
        <f>IF(L9="January",1,IF(L9="February",1,IF(L9="March",1,IF(L9="April",1,IF(L9="May",1,IF(L9="June",1,IF(L9="July",1,IF(L9="August",1,IF(L9="September",1,IF(L9="October",1,IF(L9="November",1,IF(L9="December",1,0))))))))))))</f>
        <v>1</v>
      </c>
    </row>
    <row r="5" spans="1:29" ht="17" thickBot="1" x14ac:dyDescent="0.25">
      <c r="A5" s="259"/>
      <c r="B5" s="260"/>
      <c r="C5" s="260"/>
      <c r="D5" s="260"/>
      <c r="E5" s="260"/>
      <c r="F5" s="260"/>
      <c r="G5" s="260"/>
      <c r="H5" s="260"/>
      <c r="I5" s="260"/>
      <c r="J5" s="260"/>
      <c r="K5" s="261"/>
      <c r="L5" s="252" t="s">
        <v>110</v>
      </c>
      <c r="M5" s="253"/>
      <c r="N5" s="253"/>
      <c r="O5" s="253"/>
      <c r="P5" s="55">
        <v>75</v>
      </c>
      <c r="Q5" s="54" t="s">
        <v>0</v>
      </c>
      <c r="Z5" s="19" t="s">
        <v>31</v>
      </c>
      <c r="AA5" s="19">
        <v>5</v>
      </c>
      <c r="AB5" s="19">
        <f>IF(L9="January",1,IF(L9="February",1,IF(L9="March",1,IF(L9="April",1,IF(L9="May",1,IF(L9="June",1,IF(L9="July",1,IF(L9="August",1,IF(L9="September",1,IF(L9="October",1,IF(L9="November",1,IF(L9="December",1,0))))))))))))</f>
        <v>1</v>
      </c>
    </row>
    <row r="6" spans="1:29" ht="17.25" customHeight="1" x14ac:dyDescent="0.2">
      <c r="A6" s="259" t="s">
        <v>219</v>
      </c>
      <c r="B6" s="260"/>
      <c r="C6" s="260"/>
      <c r="D6" s="260"/>
      <c r="E6" s="260"/>
      <c r="F6" s="260"/>
      <c r="G6" s="260"/>
      <c r="H6" s="260"/>
      <c r="I6" s="260"/>
      <c r="J6" s="260"/>
      <c r="K6" s="261"/>
      <c r="L6" s="56"/>
      <c r="M6" s="1"/>
      <c r="N6" s="1"/>
      <c r="O6" s="1"/>
      <c r="P6" s="1"/>
      <c r="Q6" s="54"/>
      <c r="Z6" s="19" t="s">
        <v>43</v>
      </c>
      <c r="AA6" s="19">
        <v>6</v>
      </c>
      <c r="AB6" s="19">
        <f>IF(L9="January",1,IF(L9="February",1,IF(L9="March",1,IF(L9="April",1,IF(L9="May",1,IF(L9="June",1,IF(L9="July",1,IF(L9="August",1,IF(L9="September",1,IF(L9="October",1,IF(L9="November",1,IF(L9="December",1,0))))))))))))</f>
        <v>1</v>
      </c>
    </row>
    <row r="7" spans="1:29" ht="16" x14ac:dyDescent="0.2">
      <c r="A7" s="259"/>
      <c r="B7" s="260"/>
      <c r="C7" s="260"/>
      <c r="D7" s="260"/>
      <c r="E7" s="260"/>
      <c r="F7" s="260"/>
      <c r="G7" s="260"/>
      <c r="H7" s="260"/>
      <c r="I7" s="260"/>
      <c r="J7" s="260"/>
      <c r="K7" s="261"/>
      <c r="L7" s="254" t="s">
        <v>45</v>
      </c>
      <c r="M7" s="227"/>
      <c r="N7" s="227"/>
      <c r="O7" s="227"/>
      <c r="P7" s="227"/>
      <c r="Q7" s="255"/>
      <c r="Z7" s="19" t="s">
        <v>32</v>
      </c>
      <c r="AA7" s="19">
        <v>7</v>
      </c>
      <c r="AB7" s="19">
        <f>IF(L9="January",1,IF(L9="February",1,IF(L9="March",1,IF(L9="April",1,IF(L9="May",1,IF(L9="June",1,IF(L9="July",1,IF(L9="August",1,IF(L9="September",1,IF(L9="October",1,IF(L9="November",1,IF(L9="December",1,0))))))))))))</f>
        <v>1</v>
      </c>
    </row>
    <row r="8" spans="1:29" ht="15.75" customHeight="1" thickBot="1" x14ac:dyDescent="0.25">
      <c r="A8" s="259" t="s">
        <v>220</v>
      </c>
      <c r="B8" s="260"/>
      <c r="C8" s="260"/>
      <c r="D8" s="260"/>
      <c r="E8" s="260"/>
      <c r="F8" s="260"/>
      <c r="G8" s="260"/>
      <c r="H8" s="260"/>
      <c r="I8" s="260"/>
      <c r="J8" s="260"/>
      <c r="K8" s="261"/>
      <c r="L8" s="57" t="s">
        <v>38</v>
      </c>
      <c r="M8" s="47"/>
      <c r="N8" s="58" t="s">
        <v>41</v>
      </c>
      <c r="O8" s="47"/>
      <c r="P8" s="59" t="s">
        <v>42</v>
      </c>
      <c r="Q8" s="54"/>
      <c r="Z8" s="19" t="s">
        <v>33</v>
      </c>
      <c r="AA8" s="19">
        <v>8</v>
      </c>
      <c r="AB8" s="19">
        <f>IF(L9="January",1,IF(L9="February",1,IF(L9="March",1,IF(L9="April",1,IF(L9="May",1,IF(L9="June",1,IF(L9="July",1,IF(L9="August",1,IF(L9="September",1,IF(L9="October",1,IF(L9="November",1,IF(L9="December",1,0))))))))))))</f>
        <v>1</v>
      </c>
    </row>
    <row r="9" spans="1:29" ht="17" thickBot="1" x14ac:dyDescent="0.25">
      <c r="A9" s="259"/>
      <c r="B9" s="260"/>
      <c r="C9" s="260"/>
      <c r="D9" s="260"/>
      <c r="E9" s="260"/>
      <c r="F9" s="260"/>
      <c r="G9" s="260"/>
      <c r="H9" s="260"/>
      <c r="I9" s="260"/>
      <c r="J9" s="260"/>
      <c r="K9" s="261"/>
      <c r="L9" s="60" t="s">
        <v>32</v>
      </c>
      <c r="M9" s="47"/>
      <c r="N9" s="60">
        <v>14</v>
      </c>
      <c r="O9" s="47"/>
      <c r="P9" s="61">
        <f>IF(L9="January",N9,IF(L9="February",N9+31,IF(L9="March",N9+59,IF(L9="April",N9+90,IF(L9="May",N9+120,IF(L9="June",N9+151,IF(L9="July",N9+181,IF(L9="August",N9+212,IF(L9="September",N9+243,IF(L9="October",N9+273,IF(L9="November",N9+304,IF(L9="December",N9+334,0))))))))))))</f>
        <v>195</v>
      </c>
      <c r="Q9" s="54"/>
      <c r="S9" s="22"/>
      <c r="Z9" s="19" t="s">
        <v>34</v>
      </c>
      <c r="AA9" s="19">
        <v>9</v>
      </c>
      <c r="AB9" s="19">
        <f>IF(L9="January",1,IF(L9="February",1,IF(L9="March",1,IF(L9="April",1,IF(L9="May",1,IF(L9="June",1,IF(L9="July",1,IF(L9="August",1,IF(L9="September",1,IF(L9="October",1,IF(L9="November",1,IF(L9="December",1,0))))))))))))</f>
        <v>1</v>
      </c>
    </row>
    <row r="10" spans="1:29" ht="17" thickBot="1" x14ac:dyDescent="0.25">
      <c r="A10" s="262"/>
      <c r="B10" s="263"/>
      <c r="C10" s="263"/>
      <c r="D10" s="263"/>
      <c r="E10" s="263"/>
      <c r="F10" s="263"/>
      <c r="G10" s="263"/>
      <c r="H10" s="263"/>
      <c r="I10" s="263"/>
      <c r="J10" s="263"/>
      <c r="K10" s="264"/>
      <c r="L10" s="271" t="str">
        <f>IFERROR(IF(INDEX(AB1:AB31,MATCH(N9,AA1:AA31,0))=0,"The date value entered is INCORRECT",""),"The date value entered is INCORRECT")</f>
        <v/>
      </c>
      <c r="M10" s="272"/>
      <c r="N10" s="272"/>
      <c r="O10" s="272"/>
      <c r="P10" s="62"/>
      <c r="Q10" s="63"/>
      <c r="Z10" s="19" t="s">
        <v>35</v>
      </c>
      <c r="AA10" s="19">
        <v>10</v>
      </c>
      <c r="AB10" s="19">
        <f>IF(L9="January",1,IF(L9="February",1,IF(L9="March",1,IF(L9="April",1,IF(L9="May",1,IF(L9="June",1,IF(L9="July",1,IF(L9="August",1,IF(L9="September",1,IF(L9="October",1,IF(L9="November",1,IF(L9="December",1,0))))))))))))</f>
        <v>1</v>
      </c>
    </row>
    <row r="11" spans="1:29" ht="15" customHeight="1" thickBot="1" x14ac:dyDescent="0.2">
      <c r="A11" s="31"/>
      <c r="B11" s="31"/>
      <c r="C11" s="31"/>
      <c r="D11" s="31"/>
      <c r="E11" s="31"/>
      <c r="F11" s="31"/>
      <c r="G11" s="31"/>
      <c r="H11" s="31"/>
      <c r="I11" s="31"/>
      <c r="J11" s="31"/>
      <c r="K11" s="31"/>
      <c r="Z11" s="19" t="s">
        <v>36</v>
      </c>
      <c r="AA11" s="19">
        <v>11</v>
      </c>
      <c r="AB11" s="19">
        <f>IF(L9="January",1,IF(L9="February",1,IF(L9="March",1,IF(L9="April",1,IF(L9="May",1,IF(L9="June",1,IF(L9="July",1,IF(L9="August",1,IF(L9="September",1,IF(L9="October",1,IF(L9="November",1,IF(L9="December",1,0))))))))))))</f>
        <v>1</v>
      </c>
    </row>
    <row r="12" spans="1:29" ht="15.75" customHeight="1" thickBot="1" x14ac:dyDescent="0.25">
      <c r="A12" s="1"/>
      <c r="B12" s="1"/>
      <c r="C12" s="1"/>
      <c r="D12" s="1"/>
      <c r="E12" s="80" t="s">
        <v>11</v>
      </c>
      <c r="F12" s="59" t="s">
        <v>19</v>
      </c>
      <c r="G12" s="1"/>
      <c r="H12" s="81" t="s">
        <v>46</v>
      </c>
      <c r="I12" s="1"/>
      <c r="J12" s="1"/>
      <c r="K12" s="1"/>
      <c r="L12" s="286" t="s">
        <v>208</v>
      </c>
      <c r="M12" s="287"/>
      <c r="N12" s="287"/>
      <c r="O12" s="287"/>
      <c r="P12" s="287"/>
      <c r="Q12" s="288"/>
      <c r="Z12" s="19" t="s">
        <v>37</v>
      </c>
      <c r="AA12" s="19">
        <v>12</v>
      </c>
      <c r="AB12" s="19">
        <f>IF(L9="January",1,IF(L9="February",1,IF(L9="March",1,IF(L9="April",1,IF(L9="May",1,IF(L9="June",1,IF(L9="July",1,IF(L9="August",1,IF(L9="September",1,IF(L9="October",1,IF(L9="November",1,IF(L9="December",1,0))))))))))))</f>
        <v>1</v>
      </c>
    </row>
    <row r="13" spans="1:29" ht="16" x14ac:dyDescent="0.2">
      <c r="A13" s="81" t="s">
        <v>111</v>
      </c>
      <c r="B13" s="1"/>
      <c r="C13" s="1"/>
      <c r="D13" s="1"/>
      <c r="E13" s="82">
        <v>13</v>
      </c>
      <c r="F13" s="83">
        <v>34</v>
      </c>
      <c r="G13" s="1"/>
      <c r="H13" s="84">
        <f>E13+(F13/60)</f>
        <v>13.566666666666666</v>
      </c>
      <c r="I13" s="1"/>
      <c r="J13" s="1"/>
      <c r="K13" s="1"/>
      <c r="L13" s="64" t="s">
        <v>38</v>
      </c>
      <c r="M13" s="65" t="s">
        <v>39</v>
      </c>
      <c r="N13" s="66" t="s">
        <v>38</v>
      </c>
      <c r="O13" s="65" t="s">
        <v>40</v>
      </c>
      <c r="P13" s="67" t="s">
        <v>38</v>
      </c>
      <c r="Q13" s="68" t="s">
        <v>40</v>
      </c>
      <c r="AA13" s="19">
        <v>13</v>
      </c>
      <c r="AB13" s="19">
        <f>IF(L9="January",1,IF(L9="February",1,IF(L9="March",1,IF(L9="April",1,IF(L9="May",1,IF(L9="June",1,IF(L9="July",1,IF(L9="August",1,IF(L9="September",1,IF(L9="October",1,IF(L9="November",1,IF(L9="December",1,0))))))))))))</f>
        <v>1</v>
      </c>
    </row>
    <row r="14" spans="1:29" ht="16" x14ac:dyDescent="0.2">
      <c r="A14" s="81" t="s">
        <v>221</v>
      </c>
      <c r="B14" s="1"/>
      <c r="C14" s="1"/>
      <c r="D14" s="1"/>
      <c r="E14" s="85" t="s">
        <v>20</v>
      </c>
      <c r="F14" s="268" t="str">
        <f>IF(AND(E14="Y",(OR(L9="April",L9="May",L9="June",L9="July",L9="August",L9="September",L9="October",AND(L9="November",N9&lt;=7),AND(L9="March",N9&gt;=8)))),"",IF(AND(E14="N",(OR(L9="December",L9="January",L9="February",AND(L9="November",N9&gt;=1),AND(L9="March",N9&lt;=14)))),"","Warning: Check the Daylight Savings Time"))</f>
        <v/>
      </c>
      <c r="G14" s="269"/>
      <c r="H14" s="269"/>
      <c r="I14" s="269"/>
      <c r="J14" s="269"/>
      <c r="K14" s="270"/>
      <c r="L14" s="69" t="s">
        <v>27</v>
      </c>
      <c r="M14" s="70">
        <v>1</v>
      </c>
      <c r="N14" s="71" t="s">
        <v>31</v>
      </c>
      <c r="O14" s="70">
        <v>121</v>
      </c>
      <c r="P14" s="47" t="s">
        <v>34</v>
      </c>
      <c r="Q14" s="72">
        <v>244</v>
      </c>
      <c r="AA14" s="19">
        <v>14</v>
      </c>
      <c r="AB14" s="19">
        <f>IF(L9="January",1,IF(L9="February",1,IF(L9="March",1,IF(L9="April",1,IF(L9="May",1,IF(L9="June",1,IF(L9="July",1,IF(L9="August",1,IF(L9="September",1,IF(L9="October",1,IF(L9="November",1,IF(L9="December",1,0))))))))))))</f>
        <v>1</v>
      </c>
    </row>
    <row r="15" spans="1:29" ht="16" x14ac:dyDescent="0.2">
      <c r="A15" s="81" t="s">
        <v>14</v>
      </c>
      <c r="B15" s="1"/>
      <c r="C15" s="1"/>
      <c r="D15" s="1"/>
      <c r="E15" s="82" t="s">
        <v>15</v>
      </c>
      <c r="F15" s="284" t="str">
        <f>IF(AND(E15="Eastern",AND(P5&gt;=70,P5&lt;=85)),"",IF(AND(E15="Central",AND(P5&gt;=85,P5&lt;=100)),"",IF(AND(E15="Mountain",AND(P5&gt;=100,P5&lt;=115)),"",IF(AND(E15="Pacific",AND(P5&gt;=115,P5&lt;=125)),"","Warning: Check the Time Zone"))))</f>
        <v/>
      </c>
      <c r="G15" s="285"/>
      <c r="H15" s="285"/>
      <c r="I15" s="285"/>
      <c r="J15" s="1"/>
      <c r="K15" s="1"/>
      <c r="L15" s="69" t="s">
        <v>28</v>
      </c>
      <c r="M15" s="70">
        <v>32</v>
      </c>
      <c r="N15" s="71" t="s">
        <v>43</v>
      </c>
      <c r="O15" s="70">
        <v>152</v>
      </c>
      <c r="P15" s="47" t="s">
        <v>35</v>
      </c>
      <c r="Q15" s="72">
        <v>274</v>
      </c>
      <c r="R15" s="186"/>
      <c r="AA15" s="19">
        <v>15</v>
      </c>
      <c r="AB15" s="19">
        <f>IF(L9="January",1,IF(L9="February",1,IF(L9="March",1,IF(L9="April",1,IF(L9="May",1,IF(L9="June",1,IF(L9="July",1,IF(L9="August",1,IF(L9="September",1,IF(L9="October",1,IF(L9="November",1,IF(L9="December",1,0))))))))))))</f>
        <v>1</v>
      </c>
    </row>
    <row r="16" spans="1:29" ht="16" x14ac:dyDescent="0.2">
      <c r="A16" s="1"/>
      <c r="B16" s="1"/>
      <c r="C16" s="1"/>
      <c r="D16" s="1"/>
      <c r="E16" s="1"/>
      <c r="F16" s="1"/>
      <c r="G16" s="1"/>
      <c r="H16" s="1"/>
      <c r="I16" s="1"/>
      <c r="J16" s="1"/>
      <c r="K16" s="1"/>
      <c r="L16" s="69" t="s">
        <v>29</v>
      </c>
      <c r="M16" s="70">
        <v>60</v>
      </c>
      <c r="N16" s="71" t="s">
        <v>32</v>
      </c>
      <c r="O16" s="70">
        <v>182</v>
      </c>
      <c r="P16" s="47" t="s">
        <v>36</v>
      </c>
      <c r="Q16" s="73">
        <v>305</v>
      </c>
      <c r="R16" s="186"/>
      <c r="AA16" s="19">
        <v>16</v>
      </c>
      <c r="AB16" s="19">
        <f>IF(L9="January",1,IF(L9="February",1,IF(L9="March",1,IF(L9="April",1,IF(L9="May",1,IF(L9="June",1,IF(L9="July",1,IF(L9="August",1,IF(L9="September",1,IF(L9="October",1,IF(L9="November",1,IF(L9="December",1,0))))))))))))</f>
        <v>1</v>
      </c>
    </row>
    <row r="17" spans="1:28" ht="17" thickBot="1" x14ac:dyDescent="0.25">
      <c r="A17" s="1"/>
      <c r="B17" s="1"/>
      <c r="C17" s="1"/>
      <c r="D17" s="283" t="s">
        <v>48</v>
      </c>
      <c r="E17" s="283"/>
      <c r="F17" s="283"/>
      <c r="G17" s="1"/>
      <c r="H17" s="1"/>
      <c r="I17" s="1"/>
      <c r="J17" s="1"/>
      <c r="K17" s="1"/>
      <c r="L17" s="74" t="s">
        <v>30</v>
      </c>
      <c r="M17" s="75">
        <v>91</v>
      </c>
      <c r="N17" s="76" t="s">
        <v>33</v>
      </c>
      <c r="O17" s="75">
        <v>213</v>
      </c>
      <c r="P17" s="77" t="s">
        <v>37</v>
      </c>
      <c r="Q17" s="78">
        <v>335</v>
      </c>
      <c r="R17" s="186"/>
      <c r="AA17" s="19">
        <v>17</v>
      </c>
      <c r="AB17" s="19">
        <f>IF(L9="January",1,IF(L9="February",1,IF(L9="March",1,IF(L9="April",1,IF(L9="May",1,IF(L9="June",1,IF(L9="July",1,IF(L9="August",1,IF(L9="September",1,IF(L9="October",1,IF(L9="November",1,IF(L9="December",1,0))))))))))))</f>
        <v>1</v>
      </c>
    </row>
    <row r="18" spans="1:28" ht="17" thickBot="1" x14ac:dyDescent="0.25">
      <c r="A18" s="1" t="s">
        <v>112</v>
      </c>
      <c r="B18" s="1"/>
      <c r="C18" s="1"/>
      <c r="D18" s="1"/>
      <c r="E18" s="86">
        <f>(360/364*(P9-81))</f>
        <v>112.74725274725276</v>
      </c>
      <c r="F18" s="1" t="s">
        <v>0</v>
      </c>
      <c r="G18" s="1"/>
      <c r="H18" s="1"/>
      <c r="I18" s="1"/>
      <c r="J18" s="1"/>
      <c r="K18" s="1"/>
      <c r="L18" s="1"/>
      <c r="M18" s="1"/>
      <c r="N18" s="1"/>
      <c r="O18" s="1"/>
      <c r="P18" s="1"/>
      <c r="Q18" s="1"/>
      <c r="AA18" s="19">
        <v>18</v>
      </c>
      <c r="AB18" s="19">
        <f>IF(L9="January",1,IF(L9="February",1,IF(L9="March",1,IF(L9="April",1,IF(L9="May",1,IF(L9="June",1,IF(L9="July",1,IF(L9="August",1,IF(L9="September",1,IF(L9="October",1,IF(L9="November",1,IF(L9="December",1,0))))))))))))</f>
        <v>1</v>
      </c>
    </row>
    <row r="19" spans="1:28" ht="17" thickBot="1" x14ac:dyDescent="0.25">
      <c r="A19" s="1" t="s">
        <v>113</v>
      </c>
      <c r="B19" s="1"/>
      <c r="C19" s="1"/>
      <c r="D19" s="1"/>
      <c r="E19" s="86">
        <f>(9.87*SIN(RADIANS(2*E18)))-(7.53*COS(RADIANS(E18)))-(1.5*SIN(RADIANS(E18)))</f>
        <v>-5.5108471812678168</v>
      </c>
      <c r="F19" s="1" t="s">
        <v>12</v>
      </c>
      <c r="G19" s="1"/>
      <c r="H19" s="1"/>
      <c r="I19" s="1"/>
      <c r="J19" s="1"/>
      <c r="K19" s="1"/>
      <c r="L19" s="1"/>
      <c r="M19" s="1"/>
      <c r="N19" s="286" t="s">
        <v>52</v>
      </c>
      <c r="O19" s="287"/>
      <c r="P19" s="287"/>
      <c r="Q19" s="288"/>
      <c r="AA19" s="19">
        <v>19</v>
      </c>
      <c r="AB19" s="19">
        <f>IF(L9="January",1,IF(L9="February",1,IF(L9="March",1,IF(L9="April",1,IF(L9="May",1,IF(L9="June",1,IF(L9="July",1,IF(L9="August",1,IF(L9="September",1,IF(L9="October",1,IF(L9="November",1,IF(L9="December",1,0))))))))))))</f>
        <v>1</v>
      </c>
    </row>
    <row r="20" spans="1:28" ht="15" customHeight="1" x14ac:dyDescent="0.2">
      <c r="A20" s="1" t="s">
        <v>47</v>
      </c>
      <c r="B20" s="1"/>
      <c r="C20" s="1"/>
      <c r="D20" s="87"/>
      <c r="E20" s="88">
        <f>IF(E15="Eastern",75,IF(E15="Central",90,IF(E15="Mountain",105,IF(E15="Pacific",120,"error"))))</f>
        <v>75</v>
      </c>
      <c r="F20" s="1" t="s">
        <v>0</v>
      </c>
      <c r="G20" s="89"/>
      <c r="H20" s="1"/>
      <c r="I20" s="1"/>
      <c r="J20" s="1"/>
      <c r="K20" s="1"/>
      <c r="L20" s="1"/>
      <c r="M20" s="1"/>
      <c r="N20" s="56" t="s">
        <v>15</v>
      </c>
      <c r="O20" s="47">
        <v>75</v>
      </c>
      <c r="P20" s="1" t="s">
        <v>53</v>
      </c>
      <c r="Q20" s="54"/>
      <c r="AA20" s="19">
        <v>20</v>
      </c>
      <c r="AB20" s="19">
        <f>IF(L9="January",1,IF(L9="February",1,IF(L9="March",1,IF(L9="April",1,IF(L9="May",1,IF(L9="June",1,IF(L9="July",1,IF(L9="August",1,IF(L9="September",1,IF(L9="October",1,IF(L9="November",1,IF(L9="December",1,0))))))))))))</f>
        <v>1</v>
      </c>
    </row>
    <row r="21" spans="1:28" ht="16" x14ac:dyDescent="0.2">
      <c r="A21" s="90" t="s">
        <v>210</v>
      </c>
      <c r="B21" s="1"/>
      <c r="C21" s="91"/>
      <c r="D21" s="1"/>
      <c r="E21" s="86">
        <f>C27-H13</f>
        <v>-0.47481921364553692</v>
      </c>
      <c r="F21" s="1" t="s">
        <v>49</v>
      </c>
      <c r="G21" s="47" t="s">
        <v>22</v>
      </c>
      <c r="H21" s="92">
        <f>ABS(E21)/24</f>
        <v>1.9784133901897372E-2</v>
      </c>
      <c r="I21" s="93" t="str">
        <f>IF(E21&lt;0,"AFTER solar noon","BEFORE solar noon")</f>
        <v>AFTER solar noon</v>
      </c>
      <c r="J21" s="93"/>
      <c r="K21" s="94"/>
      <c r="L21" s="1"/>
      <c r="M21" s="1"/>
      <c r="N21" s="56" t="s">
        <v>16</v>
      </c>
      <c r="O21" s="47">
        <v>90</v>
      </c>
      <c r="P21" s="1" t="s">
        <v>53</v>
      </c>
      <c r="Q21" s="54"/>
      <c r="AA21" s="19">
        <v>21</v>
      </c>
      <c r="AB21" s="19">
        <f>IF(L9="January",1,IF(L9="February",1,IF(L9="March",1,IF(L9="April",1,IF(L9="May",1,IF(L9="June",1,IF(L9="July",1,IF(L9="August",1,IF(L9="September",1,IF(L9="October",1,IF(L9="November",1,IF(L9="December",1,0))))))))))))</f>
        <v>1</v>
      </c>
    </row>
    <row r="22" spans="1:28" ht="16" x14ac:dyDescent="0.2">
      <c r="A22" s="1"/>
      <c r="B22" s="1"/>
      <c r="C22" s="1"/>
      <c r="D22" s="1"/>
      <c r="E22" s="1"/>
      <c r="F22" s="1"/>
      <c r="G22" s="1"/>
      <c r="H22" s="1"/>
      <c r="I22" s="1"/>
      <c r="J22" s="1"/>
      <c r="K22" s="1"/>
      <c r="L22" s="1"/>
      <c r="M22" s="1"/>
      <c r="N22" s="56" t="s">
        <v>17</v>
      </c>
      <c r="O22" s="47">
        <v>105</v>
      </c>
      <c r="P22" s="1" t="s">
        <v>53</v>
      </c>
      <c r="Q22" s="54"/>
      <c r="AA22" s="19">
        <v>22</v>
      </c>
      <c r="AB22" s="19">
        <f>IF(L9="January",1,IF(L9="February",1,IF(L9="March",1,IF(L9="April",1,IF(L9="May",1,IF(L9="June",1,IF(L9="July",1,IF(L9="August",1,IF(L9="September",1,IF(L9="October",1,IF(L9="November",1,IF(L9="December",1,0))))))))))))</f>
        <v>1</v>
      </c>
    </row>
    <row r="23" spans="1:28" ht="17" thickBot="1" x14ac:dyDescent="0.25">
      <c r="A23" s="1"/>
      <c r="B23" s="1"/>
      <c r="C23" s="1"/>
      <c r="D23" s="283" t="s">
        <v>10</v>
      </c>
      <c r="E23" s="283"/>
      <c r="F23" s="283"/>
      <c r="G23" s="1"/>
      <c r="H23" s="1"/>
      <c r="I23" s="1"/>
      <c r="J23" s="1"/>
      <c r="K23" s="1"/>
      <c r="L23" s="1"/>
      <c r="M23" s="1"/>
      <c r="N23" s="79" t="s">
        <v>18</v>
      </c>
      <c r="O23" s="77">
        <v>120</v>
      </c>
      <c r="P23" s="62" t="s">
        <v>53</v>
      </c>
      <c r="Q23" s="63"/>
      <c r="AA23" s="19">
        <v>23</v>
      </c>
      <c r="AB23" s="19">
        <f>IF(L9="January",1,IF(L9="February",1,IF(L9="March",1,IF(L9="April",1,IF(L9="May",1,IF(L9="June",1,IF(L9="July",1,IF(L9="August",1,IF(L9="September",1,IF(L9="October",1,IF(L9="November",1,IF(L9="December",1,0))))))))))))</f>
        <v>1</v>
      </c>
    </row>
    <row r="24" spans="1:28" ht="17" thickBot="1" x14ac:dyDescent="0.25">
      <c r="A24" s="90"/>
      <c r="B24" s="1"/>
      <c r="C24" s="47" t="s">
        <v>50</v>
      </c>
      <c r="D24" s="1"/>
      <c r="E24" s="227" t="s">
        <v>215</v>
      </c>
      <c r="F24" s="227"/>
      <c r="G24" s="1"/>
      <c r="H24" s="272" t="s">
        <v>51</v>
      </c>
      <c r="I24" s="272"/>
      <c r="J24" s="93"/>
      <c r="K24" s="94"/>
      <c r="AA24" s="19">
        <v>24</v>
      </c>
      <c r="AB24" s="19">
        <f>IF(L9="January",1,IF(L9="February",1,IF(L9="March",1,IF(L9="April",1,IF(L9="May",1,IF(L9="June",1,IF(L9="July",1,IF(L9="August",1,IF(L9="September",1,IF(L9="October",1,IF(L9="November",1,IF(L9="December",1,0))))))))))))</f>
        <v>1</v>
      </c>
    </row>
    <row r="25" spans="1:28" ht="17" thickBot="1" x14ac:dyDescent="0.25">
      <c r="A25" s="81" t="s">
        <v>114</v>
      </c>
      <c r="B25" s="1"/>
      <c r="C25" s="95">
        <f>((H13*60+4*(E20-P5)+E19)/60)+IF(E14="Y",-1,0)</f>
        <v>12.474819213645537</v>
      </c>
      <c r="D25" s="47"/>
      <c r="E25" s="279" t="str">
        <f>TEXT(C25/24, "h:mm")</f>
        <v>12:28</v>
      </c>
      <c r="F25" s="280"/>
      <c r="G25" s="91"/>
      <c r="H25" s="281">
        <f>C25/24</f>
        <v>0.51978413390189737</v>
      </c>
      <c r="I25" s="282"/>
      <c r="J25" s="1"/>
      <c r="K25" s="1"/>
      <c r="AA25" s="19">
        <v>25</v>
      </c>
      <c r="AB25" s="19">
        <f>IF(L9="January",1,IF(L9="February",1,IF(L9="March",1,IF(L9="April",1,IF(L9="May",1,IF(L9="June",1,IF(L9="July",1,IF(L9="August",1,IF(L9="September",1,IF(L9="October",1,IF(L9="November",1,IF(L9="December",1,0))))))))))))</f>
        <v>1</v>
      </c>
    </row>
    <row r="26" spans="1:28" ht="16" x14ac:dyDescent="0.2">
      <c r="A26" s="256" t="s">
        <v>115</v>
      </c>
      <c r="B26" s="256"/>
      <c r="C26" s="1"/>
      <c r="D26" s="1"/>
      <c r="E26" s="1"/>
      <c r="F26" s="1"/>
      <c r="G26" s="1"/>
      <c r="H26" s="1"/>
      <c r="I26" s="96"/>
      <c r="J26" s="1"/>
      <c r="K26" s="1"/>
      <c r="AA26" s="19">
        <v>26</v>
      </c>
      <c r="AB26" s="19">
        <f>IF(L9="January",1,IF(L9="February",1,IF(L9="March",1,IF(L9="April",1,IF(L9="May",1,IF(L9="June",1,IF(L9="July",1,IF(L9="August",1,IF(L9="September",1,IF(L9="October",1,IF(L9="November",1,IF(L9="December",1,0))))))))))))</f>
        <v>1</v>
      </c>
    </row>
    <row r="27" spans="1:28" ht="17.25" customHeight="1" x14ac:dyDescent="0.2">
      <c r="A27" s="256"/>
      <c r="B27" s="256"/>
      <c r="C27" s="84">
        <f>((12*60)-4*(E20-P5)-(E19))/60+IF(E14="Y",1,0)</f>
        <v>13.09184745302113</v>
      </c>
      <c r="D27" s="1"/>
      <c r="E27" s="257" t="str">
        <f>TEXT(C27/24, "h:mm")</f>
        <v>13:05</v>
      </c>
      <c r="F27" s="257"/>
      <c r="G27" s="1"/>
      <c r="H27" s="258">
        <f>C27/24</f>
        <v>0.5454936438758804</v>
      </c>
      <c r="I27" s="258"/>
      <c r="J27" s="1"/>
      <c r="K27" s="1"/>
      <c r="AA27" s="19">
        <v>27</v>
      </c>
      <c r="AB27" s="19">
        <f>IF(L9="January",1,IF(L9="February",1,IF(L9="March",1,IF(L9="April",1,IF(L9="May",1,IF(L9="June",1,IF(L9="July",1,IF(L9="August",1,IF(L9="September",1,IF(L9="October",1,IF(L9="November",1,IF(L9="December",1,0))))))))))))</f>
        <v>1</v>
      </c>
    </row>
    <row r="28" spans="1:28" ht="16" x14ac:dyDescent="0.2">
      <c r="A28" s="97"/>
      <c r="B28" s="98"/>
      <c r="C28" s="1"/>
      <c r="D28" s="1"/>
      <c r="E28" s="1"/>
      <c r="F28" s="1"/>
      <c r="G28" s="1"/>
      <c r="H28" s="1"/>
      <c r="I28" s="1"/>
      <c r="J28" s="1"/>
      <c r="K28" s="1"/>
      <c r="AA28" s="19">
        <v>28</v>
      </c>
      <c r="AB28" s="19">
        <f>IF(L9="January",1,IF(L9="February",1,IF(L9="March",1,IF(L9="April",1,IF(L9="May",1,IF(L9="June",1,IF(L9="July",1,IF(L9="August",1,IF(L9="September",1,IF(L9="October",1,IF(L9="November",1,IF(L9="December",1,0))))))))))))</f>
        <v>1</v>
      </c>
    </row>
    <row r="29" spans="1:28" ht="17" thickBot="1" x14ac:dyDescent="0.25">
      <c r="A29" s="97"/>
      <c r="B29" s="98"/>
      <c r="C29" s="80"/>
      <c r="D29" s="47"/>
      <c r="E29" s="59"/>
      <c r="F29" s="59"/>
      <c r="G29" s="91"/>
      <c r="H29" s="99"/>
      <c r="I29" s="99"/>
      <c r="J29" s="1"/>
      <c r="K29" s="1"/>
      <c r="AA29" s="19">
        <v>29</v>
      </c>
      <c r="AB29" s="19">
        <f>IF(L9="January",1,IF(L9="March",1,IF(L9="April",1,IF(L9="May",1,IF(L9="June",1,IF(L9="July",1,IF(L9="August",1,IF(L9="September",1,IF(L9="October",1,IF(L9="November",1,IF(L9="December",1,0)))))))))))</f>
        <v>1</v>
      </c>
    </row>
    <row r="30" spans="1:28" ht="15" customHeight="1" x14ac:dyDescent="0.15">
      <c r="A30" s="243" t="s">
        <v>222</v>
      </c>
      <c r="B30" s="244"/>
      <c r="C30" s="244"/>
      <c r="D30" s="244"/>
      <c r="E30" s="244"/>
      <c r="F30" s="244"/>
      <c r="G30" s="244"/>
      <c r="H30" s="244"/>
      <c r="I30" s="244"/>
      <c r="J30" s="244"/>
      <c r="K30" s="245"/>
      <c r="L30" s="30"/>
      <c r="AA30" s="19">
        <v>30</v>
      </c>
      <c r="AB30" s="19">
        <f>IF(L9="January",1,IF(L9="March",1,IF(L9="April",1,IF(L9="May",1,IF(L9="June",1,IF(L9="July",1,IF(L9="August",1,IF(L9="September",1,IF(L9="October",1,IF(L9="November",1,IF(L9="December",1,0)))))))))))</f>
        <v>1</v>
      </c>
    </row>
    <row r="31" spans="1:28" ht="15.75" customHeight="1" x14ac:dyDescent="0.15">
      <c r="A31" s="246"/>
      <c r="B31" s="247"/>
      <c r="C31" s="247"/>
      <c r="D31" s="247"/>
      <c r="E31" s="247"/>
      <c r="F31" s="247"/>
      <c r="G31" s="247"/>
      <c r="H31" s="247"/>
      <c r="I31" s="247"/>
      <c r="J31" s="247"/>
      <c r="K31" s="248"/>
      <c r="L31" s="28"/>
      <c r="N31" s="28"/>
      <c r="O31" s="22"/>
      <c r="AA31" s="19">
        <v>31</v>
      </c>
      <c r="AB31" s="19">
        <f>IF(L9="January",1,IF(L9="March",1,IF(L9="May",1,IF(L9="July",1,IF(L9="August",1,IF(L9="October",1,IF(L9="December",1,0)))))))</f>
        <v>1</v>
      </c>
    </row>
    <row r="32" spans="1:28" ht="15" thickBot="1" x14ac:dyDescent="0.2">
      <c r="A32" s="249"/>
      <c r="B32" s="250"/>
      <c r="C32" s="250"/>
      <c r="D32" s="250"/>
      <c r="E32" s="250"/>
      <c r="F32" s="250"/>
      <c r="G32" s="250"/>
      <c r="H32" s="250"/>
      <c r="I32" s="250"/>
      <c r="J32" s="250"/>
      <c r="K32" s="251"/>
      <c r="L32" s="28"/>
      <c r="AA32" s="19" t="s">
        <v>44</v>
      </c>
      <c r="AB32" s="19">
        <f>COUNTIF(AB1:AB31,"=1")</f>
        <v>31</v>
      </c>
    </row>
    <row r="33" spans="1:11" ht="16" x14ac:dyDescent="0.2">
      <c r="A33" s="1"/>
      <c r="B33" s="1"/>
      <c r="C33" s="1"/>
      <c r="D33" s="1"/>
      <c r="E33" s="1"/>
      <c r="F33" s="1"/>
      <c r="G33" s="1"/>
      <c r="H33" s="1"/>
      <c r="I33" s="1"/>
      <c r="J33" s="1"/>
      <c r="K33" s="1"/>
    </row>
    <row r="34" spans="1:11" ht="16" x14ac:dyDescent="0.2">
      <c r="A34" s="1"/>
      <c r="B34" s="1"/>
      <c r="C34" s="59" t="s">
        <v>11</v>
      </c>
      <c r="D34" s="59" t="s">
        <v>19</v>
      </c>
      <c r="E34" s="1"/>
      <c r="F34" s="59" t="s">
        <v>46</v>
      </c>
      <c r="G34" s="1"/>
      <c r="H34" s="155" t="s">
        <v>51</v>
      </c>
      <c r="I34" s="1"/>
      <c r="J34" s="1"/>
      <c r="K34" s="1"/>
    </row>
    <row r="35" spans="1:11" ht="17" thickBot="1" x14ac:dyDescent="0.25">
      <c r="A35" s="81" t="s">
        <v>54</v>
      </c>
      <c r="B35" s="1"/>
      <c r="C35" s="100">
        <v>15</v>
      </c>
      <c r="D35" s="101">
        <v>19</v>
      </c>
      <c r="E35" s="1"/>
      <c r="F35" s="102">
        <f>C35+D35/60</f>
        <v>15.316666666666666</v>
      </c>
      <c r="G35" s="1"/>
      <c r="H35" s="239">
        <f>F35/24</f>
        <v>0.6381944444444444</v>
      </c>
      <c r="I35" s="240"/>
      <c r="J35" s="1"/>
      <c r="K35" s="1"/>
    </row>
    <row r="36" spans="1:11" ht="17" thickBot="1" x14ac:dyDescent="0.25">
      <c r="A36" s="81" t="s">
        <v>13</v>
      </c>
      <c r="B36" s="1"/>
      <c r="C36" s="103">
        <f>INT(F36)</f>
        <v>16</v>
      </c>
      <c r="D36" s="104">
        <f>ROUNDDOWN((F36-C36)*60,0)</f>
        <v>24</v>
      </c>
      <c r="E36" s="1"/>
      <c r="F36" s="95">
        <f>((F35*60)-4*(E20-P5)-(E19))/60+IF(E14="Y",1,0)</f>
        <v>16.408514119687794</v>
      </c>
      <c r="G36" s="1"/>
      <c r="H36" s="241">
        <f>F36/24</f>
        <v>0.68368808832032479</v>
      </c>
      <c r="I36" s="242"/>
      <c r="J36" s="1"/>
      <c r="K36" s="1"/>
    </row>
    <row r="37" spans="1:11" ht="16" x14ac:dyDescent="0.2">
      <c r="A37" s="1"/>
      <c r="B37" s="1"/>
      <c r="C37" s="1"/>
      <c r="D37" s="1"/>
      <c r="E37" s="1"/>
      <c r="F37" s="1"/>
      <c r="G37" s="1"/>
      <c r="H37" s="1"/>
      <c r="I37" s="1"/>
      <c r="J37" s="1"/>
      <c r="K37" s="1"/>
    </row>
  </sheetData>
  <mergeCells count="24">
    <mergeCell ref="A1:Q2"/>
    <mergeCell ref="E24:F24"/>
    <mergeCell ref="E25:F25"/>
    <mergeCell ref="H25:I25"/>
    <mergeCell ref="D23:F23"/>
    <mergeCell ref="F15:I15"/>
    <mergeCell ref="D17:F17"/>
    <mergeCell ref="L4:O4"/>
    <mergeCell ref="L12:Q12"/>
    <mergeCell ref="N19:Q19"/>
    <mergeCell ref="H35:I35"/>
    <mergeCell ref="H36:I36"/>
    <mergeCell ref="A30:K32"/>
    <mergeCell ref="L5:O5"/>
    <mergeCell ref="L7:Q7"/>
    <mergeCell ref="A26:B27"/>
    <mergeCell ref="E27:F27"/>
    <mergeCell ref="H27:I27"/>
    <mergeCell ref="A8:K10"/>
    <mergeCell ref="A6:K7"/>
    <mergeCell ref="A3:K5"/>
    <mergeCell ref="F14:K14"/>
    <mergeCell ref="L10:O10"/>
    <mergeCell ref="H24:I24"/>
  </mergeCells>
  <conditionalFormatting sqref="F15">
    <cfRule type="notContainsBlanks" dxfId="4" priority="5">
      <formula>LEN(TRIM(F15))&gt;0</formula>
    </cfRule>
  </conditionalFormatting>
  <conditionalFormatting sqref="F14:K14">
    <cfRule type="notContainsBlanks" dxfId="3" priority="2">
      <formula>LEN(TRIM(F14))&gt;0</formula>
    </cfRule>
  </conditionalFormatting>
  <conditionalFormatting sqref="L10">
    <cfRule type="notContainsBlanks" dxfId="2" priority="1">
      <formula>LEN(TRIM(L10))&gt;0</formula>
    </cfRule>
  </conditionalFormatting>
  <dataValidations count="11">
    <dataValidation type="decimal" allowBlank="1" showInputMessage="1" showErrorMessage="1" errorTitle="Longitude" error="Entry must be a number between 70 and 125." promptTitle="Longitude " prompt="Enter the locations longitude angle in degrees. For example, Las Cruces NM is 106.75 degrees." sqref="P5" xr:uid="{00000000-0002-0000-0100-000000000000}">
      <formula1>70</formula1>
      <formula2>125</formula2>
    </dataValidation>
    <dataValidation type="whole" allowBlank="1" showInputMessage="1" showErrorMessage="1" errorTitle="Invalid Entry" error="Time must be between 0-23." promptTitle="Hours in Military time." prompt="Enter an integer value between 0-23" sqref="E13" xr:uid="{00000000-0002-0000-0100-000001000000}">
      <formula1>0</formula1>
      <formula2>23</formula2>
    </dataValidation>
    <dataValidation type="whole" allowBlank="1" showInputMessage="1" showErrorMessage="1" errorTitle="Minutes" error="Values are from 0-59 minutes." promptTitle="Minutes" prompt="Enter the minutes after the hour from 0 to 59." sqref="F13" xr:uid="{00000000-0002-0000-0100-000002000000}">
      <formula1>0</formula1>
      <formula2>59</formula2>
    </dataValidation>
    <dataValidation type="whole" allowBlank="1" showInputMessage="1" showErrorMessage="1" error="Value must be an integer between 1 and 365" promptTitle="Julian Day " prompt="Enter a value from 1 to 365 representing the Julian day of the year." sqref="P9" xr:uid="{00000000-0002-0000-0100-000003000000}">
      <formula1>1</formula1>
      <formula2>365</formula2>
    </dataValidation>
    <dataValidation type="list" allowBlank="1" showInputMessage="1" showErrorMessage="1" errorTitle="DST" error="Only a Y or an N is valid - use the drop-down list menu." promptTitle="Daylight Savings Time (Y or N)?" sqref="E14" xr:uid="{00000000-0002-0000-0100-000004000000}">
      <formula1>$AC$1:$AC$2</formula1>
    </dataValidation>
    <dataValidation type="list" allowBlank="1" showInputMessage="1" showErrorMessage="1" errorTitle="Invalid Entry" error="Use the drop down menu to enter the Time Zone value." sqref="E15" xr:uid="{00000000-0002-0000-0100-000005000000}">
      <formula1>$N$20:$N$23</formula1>
    </dataValidation>
    <dataValidation type="list" allowBlank="1" showInputMessage="1" showErrorMessage="1" errorTitle="Invalid Entry" error="Use the drop down menu if needed." sqref="L9" xr:uid="{00000000-0002-0000-0100-000006000000}">
      <formula1>$Z$1:$Z$12</formula1>
    </dataValidation>
    <dataValidation type="list" allowBlank="1" showInputMessage="1" showErrorMessage="1" errorTitle="Invalid Entry" error="Depending of the month specified, this entry can vary between 0 and 31. Use drop down menu if needed." sqref="N9" xr:uid="{00000000-0002-0000-0100-000007000000}">
      <formula1>OFFSET(AA1,0,0,AB32,1)</formula1>
    </dataValidation>
    <dataValidation type="decimal" allowBlank="1" showInputMessage="1" showErrorMessage="1" errorTitle="Invalid Entry" error="Entry must be a number between 20 and 55." sqref="P4" xr:uid="{00000000-0002-0000-0100-000008000000}">
      <formula1>20</formula1>
      <formula2>55</formula2>
    </dataValidation>
    <dataValidation type="whole" allowBlank="1" showInputMessage="1" showErrorMessage="1" errorTitle="Invalid Entry" error="Values must be between 0-23." sqref="C35" xr:uid="{00000000-0002-0000-0100-000009000000}">
      <formula1>0</formula1>
      <formula2>23</formula2>
    </dataValidation>
    <dataValidation type="whole" allowBlank="1" showInputMessage="1" showErrorMessage="1" errorTitle="Invalid Entry" error="Values must be between 0-59." sqref="D35" xr:uid="{00000000-0002-0000-0100-00000A000000}">
      <formula1>0</formula1>
      <formula2>59</formula2>
    </dataValidation>
  </dataValidations>
  <pageMargins left="0.7" right="0.7" top="0.75" bottom="0.75" header="0.3" footer="0.3"/>
  <pageSetup orientation="portrait" horizontalDpi="1200" verticalDpi="120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sheetPr>
  <dimension ref="A1:T44"/>
  <sheetViews>
    <sheetView workbookViewId="0">
      <selection activeCell="F18" sqref="F18"/>
    </sheetView>
  </sheetViews>
  <sheetFormatPr baseColWidth="10" defaultColWidth="9.1640625" defaultRowHeight="14" x14ac:dyDescent="0.15"/>
  <cols>
    <col min="1" max="1" width="8.83203125" style="19" customWidth="1"/>
    <col min="2" max="2" width="7.83203125" style="19" customWidth="1"/>
    <col min="3" max="3" width="8.5" style="19" customWidth="1"/>
    <col min="4" max="4" width="16" style="19" customWidth="1"/>
    <col min="5" max="5" width="5.33203125" style="19" customWidth="1"/>
    <col min="6" max="6" width="8.1640625" style="19" customWidth="1"/>
    <col min="7" max="7" width="12.6640625" style="19" bestFit="1" customWidth="1"/>
    <col min="8" max="8" width="7.33203125" style="19" customWidth="1"/>
    <col min="9" max="9" width="10.33203125" style="19" customWidth="1"/>
    <col min="10" max="10" width="8.1640625" style="19" customWidth="1"/>
    <col min="11" max="11" width="7.83203125" style="19" customWidth="1"/>
    <col min="12" max="12" width="9.6640625" style="19" customWidth="1"/>
    <col min="13" max="17" width="9.1640625" style="19"/>
    <col min="18" max="20" width="0" style="19" hidden="1" customWidth="1"/>
    <col min="21" max="16384" width="9.1640625" style="19"/>
  </cols>
  <sheetData>
    <row r="1" spans="1:20" ht="15.75" customHeight="1" x14ac:dyDescent="0.15">
      <c r="A1" s="273" t="s">
        <v>23</v>
      </c>
      <c r="B1" s="274"/>
      <c r="C1" s="274"/>
      <c r="D1" s="274"/>
      <c r="E1" s="274"/>
      <c r="F1" s="274"/>
      <c r="G1" s="274"/>
      <c r="H1" s="274"/>
      <c r="I1" s="274"/>
      <c r="J1" s="274"/>
      <c r="K1" s="274"/>
      <c r="L1" s="275"/>
      <c r="R1" s="19" t="s">
        <v>60</v>
      </c>
      <c r="S1" s="22">
        <f>DEGREES(ASIN(COS(RADIANS(F10))*SIN(RADIANS(F17))/COS(RADIANS(F18))))</f>
        <v>-20.400991371392141</v>
      </c>
      <c r="T1" s="19" t="s">
        <v>79</v>
      </c>
    </row>
    <row r="2" spans="1:20" ht="16.5" customHeight="1" thickBot="1" x14ac:dyDescent="0.2">
      <c r="A2" s="276"/>
      <c r="B2" s="277"/>
      <c r="C2" s="277"/>
      <c r="D2" s="277"/>
      <c r="E2" s="277"/>
      <c r="F2" s="277"/>
      <c r="G2" s="277"/>
      <c r="H2" s="277"/>
      <c r="I2" s="289"/>
      <c r="J2" s="289"/>
      <c r="K2" s="289"/>
      <c r="L2" s="290"/>
      <c r="R2" s="19" t="s">
        <v>61</v>
      </c>
      <c r="S2" s="22">
        <f>180-S1</f>
        <v>200.40099137139214</v>
      </c>
      <c r="T2" s="19" t="s">
        <v>77</v>
      </c>
    </row>
    <row r="3" spans="1:20" ht="15" customHeight="1" x14ac:dyDescent="0.2">
      <c r="A3" s="298" t="s">
        <v>223</v>
      </c>
      <c r="B3" s="299"/>
      <c r="C3" s="299"/>
      <c r="D3" s="299"/>
      <c r="E3" s="299"/>
      <c r="F3" s="299"/>
      <c r="G3" s="299"/>
      <c r="H3" s="300"/>
      <c r="I3" s="291" t="s">
        <v>55</v>
      </c>
      <c r="J3" s="292"/>
      <c r="K3" s="292"/>
      <c r="L3" s="105">
        <f>Time!P4</f>
        <v>40</v>
      </c>
      <c r="R3" s="19" t="s">
        <v>62</v>
      </c>
      <c r="S3" s="22">
        <f>180-S1-360</f>
        <v>-159.59900862860786</v>
      </c>
      <c r="T3" s="19" t="s">
        <v>78</v>
      </c>
    </row>
    <row r="4" spans="1:20" ht="15.75" customHeight="1" x14ac:dyDescent="0.2">
      <c r="A4" s="301"/>
      <c r="B4" s="302"/>
      <c r="C4" s="302"/>
      <c r="D4" s="302"/>
      <c r="E4" s="302"/>
      <c r="F4" s="302"/>
      <c r="G4" s="302"/>
      <c r="H4" s="303"/>
      <c r="I4" s="293" t="s">
        <v>74</v>
      </c>
      <c r="J4" s="294"/>
      <c r="K4" s="294"/>
      <c r="L4" s="106">
        <f>Time!P5</f>
        <v>75</v>
      </c>
      <c r="S4" s="32">
        <f>IF(COS(RADIANS(F17))&gt;=((TAN(RADIANS(F10)))/(TAN(RADIANS(Time!P4)))),(DEGREES(ASIN(COS(RADIANS(F10))*SIN(RADIANS(F17))/COS(RADIANS(F18))))),IF(Time!H13&lt;12,(180-DEGREES(ASIN(COS(RADIANS(F10))*SIN(RADIANS(F17))/COS(RADIANS(F18))))),(180-DEGREES(ASIN(COS(RADIANS(F10))*SIN(RADIANS(F17))/COS(RADIANS(F18))))-360)))</f>
        <v>-20.400991371392141</v>
      </c>
    </row>
    <row r="5" spans="1:20" ht="16" x14ac:dyDescent="0.2">
      <c r="A5" s="301"/>
      <c r="B5" s="302"/>
      <c r="C5" s="302"/>
      <c r="D5" s="302"/>
      <c r="E5" s="302"/>
      <c r="F5" s="302"/>
      <c r="G5" s="302"/>
      <c r="H5" s="303"/>
      <c r="I5" s="293" t="s">
        <v>42</v>
      </c>
      <c r="J5" s="294"/>
      <c r="K5" s="294"/>
      <c r="L5" s="106">
        <f>Time!P9</f>
        <v>195</v>
      </c>
    </row>
    <row r="6" spans="1:20" ht="16" x14ac:dyDescent="0.2">
      <c r="A6" s="301"/>
      <c r="B6" s="302"/>
      <c r="C6" s="302"/>
      <c r="D6" s="302"/>
      <c r="E6" s="302"/>
      <c r="F6" s="302"/>
      <c r="G6" s="302"/>
      <c r="H6" s="303"/>
      <c r="I6" s="293" t="s">
        <v>76</v>
      </c>
      <c r="J6" s="294"/>
      <c r="K6" s="294"/>
      <c r="L6" s="107">
        <f>Time!H13</f>
        <v>13.566666666666666</v>
      </c>
    </row>
    <row r="7" spans="1:20" ht="17" thickBot="1" x14ac:dyDescent="0.25">
      <c r="A7" s="304"/>
      <c r="B7" s="305"/>
      <c r="C7" s="305"/>
      <c r="D7" s="305"/>
      <c r="E7" s="305"/>
      <c r="F7" s="305"/>
      <c r="G7" s="305"/>
      <c r="H7" s="306"/>
      <c r="I7" s="295" t="s">
        <v>75</v>
      </c>
      <c r="J7" s="296"/>
      <c r="K7" s="297"/>
      <c r="L7" s="108">
        <f>Time!C25</f>
        <v>12.474819213645537</v>
      </c>
    </row>
    <row r="8" spans="1:20" ht="16" x14ac:dyDescent="0.2">
      <c r="A8" s="109"/>
      <c r="B8" s="109"/>
      <c r="C8" s="109"/>
      <c r="D8" s="109"/>
      <c r="E8" s="109"/>
      <c r="F8" s="109"/>
      <c r="G8" s="109"/>
      <c r="H8" s="109"/>
      <c r="I8" s="96"/>
      <c r="J8" s="1"/>
      <c r="K8" s="1"/>
      <c r="L8" s="1"/>
    </row>
    <row r="9" spans="1:20" ht="19" thickBot="1" x14ac:dyDescent="0.25">
      <c r="A9" s="308" t="s">
        <v>24</v>
      </c>
      <c r="B9" s="308"/>
      <c r="C9" s="308"/>
      <c r="D9" s="308"/>
      <c r="E9" s="308"/>
      <c r="F9" s="308"/>
      <c r="G9" s="308"/>
      <c r="H9" s="109"/>
      <c r="I9" s="96"/>
      <c r="J9" s="1"/>
      <c r="K9" s="1"/>
      <c r="L9" s="1"/>
    </row>
    <row r="10" spans="1:20" ht="16" x14ac:dyDescent="0.2">
      <c r="A10" s="307" t="s">
        <v>116</v>
      </c>
      <c r="B10" s="307"/>
      <c r="C10" s="307"/>
      <c r="D10" s="307"/>
      <c r="E10" s="1"/>
      <c r="F10" s="187">
        <f>23.45*SIN(RADIANS(360/365*(L5-81)))</f>
        <v>21.67461743542804</v>
      </c>
      <c r="G10" s="110" t="s">
        <v>0</v>
      </c>
      <c r="H10" s="96"/>
      <c r="I10" s="96"/>
      <c r="J10" s="1"/>
      <c r="K10" s="1"/>
      <c r="L10" s="1"/>
    </row>
    <row r="11" spans="1:20" ht="16" x14ac:dyDescent="0.2">
      <c r="A11" s="307" t="s">
        <v>139</v>
      </c>
      <c r="B11" s="307"/>
      <c r="C11" s="307"/>
      <c r="D11" s="307"/>
      <c r="E11" s="1"/>
      <c r="F11" s="188">
        <f>(90-Time!P4+F10)</f>
        <v>71.674617435428047</v>
      </c>
      <c r="G11" s="110" t="s">
        <v>0</v>
      </c>
      <c r="H11" s="96"/>
      <c r="I11" s="96"/>
      <c r="J11" s="1"/>
      <c r="K11" s="1"/>
      <c r="L11" s="1"/>
    </row>
    <row r="12" spans="1:20" ht="16" x14ac:dyDescent="0.2">
      <c r="A12" s="307" t="s">
        <v>117</v>
      </c>
      <c r="B12" s="307"/>
      <c r="C12" s="307"/>
      <c r="D12" s="307"/>
      <c r="E12" s="1"/>
      <c r="F12" s="188">
        <f>90-F11</f>
        <v>18.325382564571953</v>
      </c>
      <c r="G12" s="110" t="s">
        <v>0</v>
      </c>
      <c r="H12" s="96"/>
      <c r="I12" s="96"/>
      <c r="J12" s="1"/>
      <c r="K12" s="1"/>
      <c r="L12" s="1"/>
    </row>
    <row r="13" spans="1:20" ht="17" thickBot="1" x14ac:dyDescent="0.25">
      <c r="A13" s="269" t="s">
        <v>118</v>
      </c>
      <c r="B13" s="269"/>
      <c r="C13" s="269"/>
      <c r="D13" s="269"/>
      <c r="E13" s="1"/>
      <c r="F13" s="189">
        <f>ABS(1/SIN(RADIANS(F11)))</f>
        <v>1.0534229958011125</v>
      </c>
      <c r="G13" s="47"/>
      <c r="H13" s="81"/>
      <c r="I13" s="1"/>
      <c r="J13" s="1"/>
      <c r="K13" s="1"/>
      <c r="L13" s="1"/>
    </row>
    <row r="14" spans="1:20" ht="16" x14ac:dyDescent="0.2">
      <c r="A14" s="81"/>
      <c r="B14" s="1"/>
      <c r="C14" s="1"/>
      <c r="D14" s="1"/>
      <c r="E14" s="111"/>
      <c r="F14" s="47"/>
      <c r="G14" s="112"/>
      <c r="H14" s="112"/>
      <c r="I14" s="112"/>
      <c r="J14" s="1"/>
      <c r="K14" s="1"/>
      <c r="L14" s="1"/>
    </row>
    <row r="15" spans="1:20" ht="19" thickBot="1" x14ac:dyDescent="0.25">
      <c r="A15" s="308" t="s">
        <v>108</v>
      </c>
      <c r="B15" s="308"/>
      <c r="C15" s="308"/>
      <c r="D15" s="308"/>
      <c r="E15" s="308"/>
      <c r="F15" s="308"/>
      <c r="G15" s="308"/>
      <c r="H15" s="1"/>
      <c r="I15" s="1"/>
      <c r="J15" s="1"/>
      <c r="K15" s="1"/>
      <c r="L15" s="1"/>
    </row>
    <row r="16" spans="1:20" ht="16" x14ac:dyDescent="0.2">
      <c r="A16" s="269" t="s">
        <v>56</v>
      </c>
      <c r="B16" s="307"/>
      <c r="C16" s="307"/>
      <c r="D16" s="307"/>
      <c r="E16" s="1"/>
      <c r="F16" s="190">
        <f>Time!E21</f>
        <v>-0.47481921364553692</v>
      </c>
      <c r="G16" s="110" t="str">
        <f>IF(F16&lt;0,"Hours After","Hours Before")</f>
        <v>Hours After</v>
      </c>
      <c r="H16" s="1"/>
      <c r="I16" s="1"/>
      <c r="J16" s="1"/>
      <c r="K16" s="1"/>
      <c r="L16" s="1"/>
    </row>
    <row r="17" spans="1:12" ht="16" x14ac:dyDescent="0.2">
      <c r="A17" s="307" t="s">
        <v>119</v>
      </c>
      <c r="B17" s="307"/>
      <c r="C17" s="307"/>
      <c r="D17" s="307"/>
      <c r="E17" s="1"/>
      <c r="F17" s="188">
        <f>15*F16</f>
        <v>-7.1222882046830538</v>
      </c>
      <c r="G17" s="110" t="s">
        <v>0</v>
      </c>
      <c r="H17" s="1"/>
      <c r="I17" s="1"/>
      <c r="J17" s="1"/>
      <c r="K17" s="1"/>
      <c r="L17" s="1"/>
    </row>
    <row r="18" spans="1:12" ht="16" x14ac:dyDescent="0.2">
      <c r="A18" s="307" t="s">
        <v>120</v>
      </c>
      <c r="B18" s="307"/>
      <c r="C18" s="307"/>
      <c r="D18" s="307"/>
      <c r="E18" s="1"/>
      <c r="F18" s="188">
        <f>DEGREES(ASIN(COS(RADIANS(Time!P4))*COS(RADIANS(F10))*COS(RADIANS(F17))+SIN(RADIANS(Time!P4))*SIN(RADIANS(F10))))</f>
        <v>70.698663891487485</v>
      </c>
      <c r="G18" s="110" t="s">
        <v>0</v>
      </c>
      <c r="H18" s="1"/>
      <c r="I18" s="1"/>
      <c r="J18" s="1"/>
      <c r="K18" s="1"/>
      <c r="L18" s="1"/>
    </row>
    <row r="19" spans="1:12" ht="16" x14ac:dyDescent="0.2">
      <c r="A19" s="307" t="s">
        <v>121</v>
      </c>
      <c r="B19" s="307"/>
      <c r="C19" s="307"/>
      <c r="D19" s="307"/>
      <c r="E19" s="1"/>
      <c r="F19" s="188">
        <f>IF(COS(RADIANS(F17))&gt;=((TAN(RADIANS(F10)))/(TAN(RADIANS(Time!P4)))),S1,IF(Time!H13&lt;12,Angles!S2,Angles!S3))</f>
        <v>-20.400991371392141</v>
      </c>
      <c r="G19" s="110" t="str">
        <f>IF(F19&lt;0,"degrees West","degrees East")</f>
        <v>degrees West</v>
      </c>
      <c r="H19" s="1"/>
      <c r="I19" s="1"/>
      <c r="J19" s="1"/>
      <c r="K19" s="1"/>
      <c r="L19" s="1"/>
    </row>
    <row r="20" spans="1:12" ht="16" x14ac:dyDescent="0.2">
      <c r="A20" s="307" t="s">
        <v>209</v>
      </c>
      <c r="B20" s="307"/>
      <c r="C20" s="307"/>
      <c r="D20" s="307"/>
      <c r="E20" s="1"/>
      <c r="F20" s="188">
        <f>90-F18</f>
        <v>19.301336108512515</v>
      </c>
      <c r="G20" s="113" t="s">
        <v>0</v>
      </c>
      <c r="H20" s="114"/>
      <c r="I20" s="91"/>
      <c r="J20" s="1"/>
      <c r="K20" s="1"/>
      <c r="L20" s="1"/>
    </row>
    <row r="21" spans="1:12" ht="17" thickBot="1" x14ac:dyDescent="0.25">
      <c r="A21" s="307" t="s">
        <v>122</v>
      </c>
      <c r="B21" s="307"/>
      <c r="C21" s="307"/>
      <c r="D21" s="307"/>
      <c r="E21" s="1"/>
      <c r="F21" s="189">
        <f>ABS(1/SIN(RADIANS(F18)))</f>
        <v>1.0595540988078906</v>
      </c>
      <c r="G21" s="1"/>
      <c r="H21" s="115"/>
      <c r="I21" s="115"/>
      <c r="J21" s="1"/>
      <c r="K21" s="1"/>
      <c r="L21" s="1"/>
    </row>
    <row r="22" spans="1:12" ht="16" x14ac:dyDescent="0.2">
      <c r="A22" s="1"/>
      <c r="B22" s="1"/>
      <c r="C22" s="1"/>
      <c r="D22" s="1"/>
      <c r="E22" s="1"/>
      <c r="F22" s="1"/>
      <c r="G22" s="1"/>
      <c r="H22" s="114"/>
      <c r="I22" s="91"/>
      <c r="J22" s="1"/>
      <c r="K22" s="1"/>
      <c r="L22" s="1"/>
    </row>
    <row r="33" spans="1:9" x14ac:dyDescent="0.15">
      <c r="F33" s="27"/>
      <c r="G33" s="20"/>
      <c r="H33" s="20"/>
      <c r="I33" s="26"/>
    </row>
    <row r="34" spans="1:9" x14ac:dyDescent="0.15">
      <c r="A34" s="24"/>
      <c r="B34" s="26"/>
      <c r="C34" s="20"/>
      <c r="D34" s="27"/>
      <c r="E34" s="20"/>
      <c r="F34" s="26"/>
      <c r="G34" s="20"/>
    </row>
    <row r="44" spans="1:9" x14ac:dyDescent="0.15">
      <c r="A44" s="23"/>
      <c r="B44" s="20"/>
      <c r="C44" s="25"/>
      <c r="D44" s="21"/>
    </row>
  </sheetData>
  <mergeCells count="19">
    <mergeCell ref="A10:D10"/>
    <mergeCell ref="A11:D11"/>
    <mergeCell ref="A12:D12"/>
    <mergeCell ref="A9:G9"/>
    <mergeCell ref="A15:G15"/>
    <mergeCell ref="A13:D13"/>
    <mergeCell ref="A21:D21"/>
    <mergeCell ref="A16:D16"/>
    <mergeCell ref="A17:D17"/>
    <mergeCell ref="A18:D18"/>
    <mergeCell ref="A19:D19"/>
    <mergeCell ref="A20:D20"/>
    <mergeCell ref="A1:L2"/>
    <mergeCell ref="I3:K3"/>
    <mergeCell ref="I4:K4"/>
    <mergeCell ref="I5:K5"/>
    <mergeCell ref="I7:K7"/>
    <mergeCell ref="A3:H7"/>
    <mergeCell ref="I6:K6"/>
  </mergeCells>
  <dataValidations count="2">
    <dataValidation type="whole" allowBlank="1" showInputMessage="1" showErrorMessage="1" error="Must be integer between 1-365" sqref="L5" xr:uid="{00000000-0002-0000-0200-000000000000}">
      <formula1>1</formula1>
      <formula2>365</formula2>
    </dataValidation>
    <dataValidation type="decimal" allowBlank="1" showInputMessage="1" showErrorMessage="1" sqref="F16" xr:uid="{00000000-0002-0000-0200-000001000000}">
      <formula1>-12</formula1>
      <formula2>12</formula2>
    </dataValidation>
  </dataValidations>
  <pageMargins left="0.7" right="0.7" top="0.75" bottom="0.75" header="0.3" footer="0.3"/>
  <pageSetup orientation="portrait" horizontalDpi="1200" verticalDpi="1200"/>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sheetPr>
  <dimension ref="A1:S48"/>
  <sheetViews>
    <sheetView tabSelected="1" topLeftCell="A20" workbookViewId="0">
      <selection activeCell="L9" sqref="L9"/>
    </sheetView>
  </sheetViews>
  <sheetFormatPr baseColWidth="10" defaultColWidth="9.1640625" defaultRowHeight="15.75" customHeight="1" x14ac:dyDescent="0.15"/>
  <cols>
    <col min="1" max="2" width="11.5" style="19" customWidth="1"/>
    <col min="3" max="3" width="10" style="19" customWidth="1"/>
    <col min="4" max="4" width="9.83203125" style="19" customWidth="1"/>
    <col min="5" max="5" width="9.5" style="19" customWidth="1"/>
    <col min="6" max="6" width="9.83203125" style="19" customWidth="1"/>
    <col min="7" max="7" width="10.83203125" style="19" customWidth="1"/>
    <col min="8" max="8" width="13.1640625" style="19" customWidth="1"/>
    <col min="9" max="9" width="10" style="19" customWidth="1"/>
    <col min="10" max="10" width="12.33203125" style="19" customWidth="1"/>
    <col min="11" max="12" width="10.6640625" style="19" customWidth="1"/>
    <col min="13" max="13" width="8.6640625" style="19" customWidth="1"/>
    <col min="14" max="14" width="1.5" style="19" customWidth="1"/>
    <col min="15" max="15" width="9.1640625" style="19"/>
    <col min="16" max="16" width="13.33203125" style="19" customWidth="1"/>
    <col min="17" max="17" width="6.1640625" style="19" bestFit="1" customWidth="1"/>
    <col min="18" max="18" width="10.83203125" style="19" bestFit="1" customWidth="1"/>
    <col min="19" max="16384" width="9.1640625" style="19"/>
  </cols>
  <sheetData>
    <row r="1" spans="1:18" ht="15.75" customHeight="1" x14ac:dyDescent="0.15">
      <c r="A1" s="325" t="s">
        <v>57</v>
      </c>
      <c r="B1" s="326"/>
      <c r="C1" s="326"/>
      <c r="D1" s="326"/>
      <c r="E1" s="326"/>
      <c r="F1" s="326"/>
      <c r="G1" s="326"/>
      <c r="H1" s="326"/>
      <c r="I1" s="326"/>
      <c r="J1" s="326"/>
      <c r="K1" s="326"/>
      <c r="L1" s="326"/>
      <c r="M1" s="326"/>
      <c r="N1" s="326"/>
      <c r="O1" s="326"/>
      <c r="P1" s="326"/>
      <c r="Q1" s="327"/>
    </row>
    <row r="2" spans="1:18" ht="15.75" customHeight="1" thickBot="1" x14ac:dyDescent="0.2">
      <c r="A2" s="328"/>
      <c r="B2" s="329"/>
      <c r="C2" s="329"/>
      <c r="D2" s="329"/>
      <c r="E2" s="329"/>
      <c r="F2" s="329"/>
      <c r="G2" s="329"/>
      <c r="H2" s="329"/>
      <c r="I2" s="329"/>
      <c r="J2" s="329"/>
      <c r="K2" s="329"/>
      <c r="L2" s="329"/>
      <c r="M2" s="329"/>
      <c r="N2" s="329"/>
      <c r="O2" s="329"/>
      <c r="P2" s="329"/>
      <c r="Q2" s="330"/>
    </row>
    <row r="3" spans="1:18" ht="15.75" customHeight="1" x14ac:dyDescent="0.2">
      <c r="A3" s="334" t="s">
        <v>224</v>
      </c>
      <c r="B3" s="335"/>
      <c r="C3" s="335"/>
      <c r="D3" s="335"/>
      <c r="E3" s="335"/>
      <c r="F3" s="335"/>
      <c r="G3" s="335"/>
      <c r="H3" s="336"/>
      <c r="I3" s="293" t="s">
        <v>70</v>
      </c>
      <c r="J3" s="294"/>
      <c r="K3" s="116">
        <f>Time!H13/24</f>
        <v>0.56527777777777777</v>
      </c>
      <c r="L3" s="1"/>
      <c r="M3" s="1"/>
      <c r="N3" s="1"/>
      <c r="O3" s="331" t="s">
        <v>88</v>
      </c>
      <c r="P3" s="332"/>
      <c r="Q3" s="333"/>
    </row>
    <row r="4" spans="1:18" ht="15.75" customHeight="1" x14ac:dyDescent="0.2">
      <c r="A4" s="334"/>
      <c r="B4" s="335"/>
      <c r="C4" s="335"/>
      <c r="D4" s="335"/>
      <c r="E4" s="335"/>
      <c r="F4" s="335"/>
      <c r="G4" s="335"/>
      <c r="H4" s="336"/>
      <c r="I4" s="293" t="s">
        <v>71</v>
      </c>
      <c r="J4" s="294"/>
      <c r="K4" s="117">
        <f>Time!H25</f>
        <v>0.51978413390189737</v>
      </c>
      <c r="L4" s="1"/>
      <c r="M4" s="1"/>
      <c r="N4" s="1"/>
      <c r="O4" s="118" t="s">
        <v>89</v>
      </c>
      <c r="P4" s="119"/>
      <c r="Q4" s="120">
        <v>0.8</v>
      </c>
    </row>
    <row r="5" spans="1:18" ht="15.75" customHeight="1" thickBot="1" x14ac:dyDescent="0.25">
      <c r="A5" s="334"/>
      <c r="B5" s="335"/>
      <c r="C5" s="335"/>
      <c r="D5" s="335"/>
      <c r="E5" s="335"/>
      <c r="F5" s="335"/>
      <c r="G5" s="335"/>
      <c r="H5" s="336"/>
      <c r="I5" s="293" t="s">
        <v>93</v>
      </c>
      <c r="J5" s="294"/>
      <c r="K5" s="121" t="str">
        <f>Time!L9</f>
        <v>July</v>
      </c>
      <c r="L5" s="122">
        <f>Time!N9</f>
        <v>14</v>
      </c>
      <c r="M5" s="1"/>
      <c r="N5" s="1"/>
      <c r="O5" s="123" t="s">
        <v>225</v>
      </c>
      <c r="P5" s="124"/>
      <c r="Q5" s="125">
        <v>0.6</v>
      </c>
    </row>
    <row r="6" spans="1:18" ht="15.75" customHeight="1" x14ac:dyDescent="0.2">
      <c r="A6" s="334"/>
      <c r="B6" s="335"/>
      <c r="C6" s="335"/>
      <c r="D6" s="335"/>
      <c r="E6" s="335"/>
      <c r="F6" s="335"/>
      <c r="G6" s="335"/>
      <c r="H6" s="336"/>
      <c r="I6" s="126" t="s">
        <v>91</v>
      </c>
      <c r="J6" s="51"/>
      <c r="K6" s="51"/>
      <c r="L6" s="225">
        <f>PSH!K19+L9</f>
        <v>-6.4133432210110257</v>
      </c>
      <c r="M6" s="127" t="s">
        <v>0</v>
      </c>
      <c r="N6" s="1"/>
      <c r="O6" s="123" t="s">
        <v>226</v>
      </c>
      <c r="P6" s="124"/>
      <c r="Q6" s="125">
        <v>0.4</v>
      </c>
    </row>
    <row r="7" spans="1:18" ht="15.75" customHeight="1" x14ac:dyDescent="0.2">
      <c r="A7" s="334"/>
      <c r="B7" s="335"/>
      <c r="C7" s="335"/>
      <c r="D7" s="335"/>
      <c r="E7" s="335"/>
      <c r="F7" s="335"/>
      <c r="G7" s="335"/>
      <c r="H7" s="336"/>
      <c r="I7" s="128" t="s">
        <v>206</v>
      </c>
      <c r="J7" s="1"/>
      <c r="K7" s="1"/>
      <c r="L7" s="129">
        <f>90-PSH!J19+L9</f>
        <v>34.404592371313484</v>
      </c>
      <c r="M7" s="130" t="s">
        <v>0</v>
      </c>
      <c r="N7" s="1"/>
      <c r="O7" s="123" t="s">
        <v>227</v>
      </c>
      <c r="P7" s="124"/>
      <c r="Q7" s="125">
        <v>0.2</v>
      </c>
    </row>
    <row r="8" spans="1:18" ht="17" thickBot="1" x14ac:dyDescent="0.25">
      <c r="A8" s="337"/>
      <c r="B8" s="338"/>
      <c r="C8" s="338"/>
      <c r="D8" s="338"/>
      <c r="E8" s="338"/>
      <c r="F8" s="338"/>
      <c r="G8" s="338"/>
      <c r="H8" s="339"/>
      <c r="I8" s="131" t="s">
        <v>92</v>
      </c>
      <c r="J8" s="62"/>
      <c r="K8" s="62"/>
      <c r="L8" s="132">
        <v>0.2</v>
      </c>
      <c r="M8" s="63"/>
      <c r="N8" s="1"/>
      <c r="O8" s="79" t="s">
        <v>90</v>
      </c>
      <c r="P8" s="62"/>
      <c r="Q8" s="133">
        <v>0.1</v>
      </c>
    </row>
    <row r="9" spans="1:18" ht="15.75" customHeight="1" thickBot="1" x14ac:dyDescent="0.25">
      <c r="A9" s="1"/>
      <c r="B9" s="1"/>
      <c r="C9" s="1"/>
      <c r="D9" s="1"/>
      <c r="E9" s="1"/>
      <c r="F9" s="1"/>
      <c r="G9" s="1"/>
      <c r="H9" s="1"/>
      <c r="I9" s="1"/>
      <c r="J9" s="1"/>
      <c r="K9" s="1"/>
      <c r="L9" s="1">
        <v>15</v>
      </c>
      <c r="M9" s="1"/>
      <c r="N9" s="1"/>
      <c r="O9" s="1"/>
      <c r="P9" s="1"/>
      <c r="Q9" s="1"/>
    </row>
    <row r="10" spans="1:18" ht="15.75" customHeight="1" x14ac:dyDescent="0.2">
      <c r="A10" s="322" t="s">
        <v>123</v>
      </c>
      <c r="B10" s="322"/>
      <c r="C10" s="322"/>
      <c r="D10" s="322"/>
      <c r="E10" s="134">
        <f>1370*(1+0.034*COS(RADIANS(360*Angles!L5)/365))</f>
        <v>1324.494205006439</v>
      </c>
      <c r="F10" s="135" t="s">
        <v>124</v>
      </c>
      <c r="G10" s="1"/>
      <c r="H10" s="1"/>
      <c r="I10" s="1"/>
      <c r="J10" s="1"/>
      <c r="K10" s="1"/>
      <c r="L10" s="1"/>
      <c r="M10" s="1"/>
      <c r="N10" s="1"/>
      <c r="O10" s="1"/>
      <c r="P10" s="1"/>
      <c r="Q10" s="1"/>
    </row>
    <row r="11" spans="1:18" ht="15.75" customHeight="1" x14ac:dyDescent="0.2">
      <c r="A11" s="269" t="s">
        <v>125</v>
      </c>
      <c r="B11" s="269"/>
      <c r="C11" s="269"/>
      <c r="D11" s="269"/>
      <c r="E11" s="136">
        <f>1160+75*SIN(RADIANS((360/365)*(Angles!L5-275)))</f>
        <v>1086.4020147296294</v>
      </c>
      <c r="F11" s="135" t="s">
        <v>124</v>
      </c>
      <c r="G11" s="1"/>
      <c r="H11" s="1"/>
      <c r="I11" s="1"/>
      <c r="J11" s="1"/>
      <c r="K11" s="1"/>
      <c r="L11" s="1"/>
      <c r="M11" s="1"/>
      <c r="N11" s="1"/>
      <c r="O11" s="1"/>
      <c r="P11" s="1"/>
      <c r="Q11" s="1"/>
    </row>
    <row r="12" spans="1:18" ht="15.75" customHeight="1" x14ac:dyDescent="0.2">
      <c r="A12" s="269" t="s">
        <v>140</v>
      </c>
      <c r="B12" s="269"/>
      <c r="C12" s="269"/>
      <c r="D12" s="269"/>
      <c r="E12" s="137">
        <f>0.174+0.035*SIN(RADIANS(360/365*(Angles!L5-100)))</f>
        <v>0.20892710063028871</v>
      </c>
      <c r="F12" s="59"/>
      <c r="G12" s="1"/>
      <c r="H12" s="1"/>
      <c r="I12" s="1"/>
      <c r="J12" s="1"/>
      <c r="K12" s="1"/>
      <c r="L12" s="1"/>
      <c r="M12" s="1"/>
      <c r="N12" s="1"/>
      <c r="O12" s="1"/>
      <c r="P12" s="1"/>
      <c r="Q12" s="1"/>
    </row>
    <row r="13" spans="1:18" ht="15.75" customHeight="1" thickBot="1" x14ac:dyDescent="0.25">
      <c r="A13" s="269" t="s">
        <v>126</v>
      </c>
      <c r="B13" s="269"/>
      <c r="C13" s="269"/>
      <c r="D13" s="269"/>
      <c r="E13" s="138">
        <f>0.095+0.04*SIN(RADIANS(360/365*(Angles!L5-100)))</f>
        <v>0.13491668643461568</v>
      </c>
      <c r="F13" s="1"/>
      <c r="G13" s="1"/>
      <c r="H13" s="1"/>
      <c r="I13" s="1"/>
      <c r="J13" s="1"/>
      <c r="K13" s="1"/>
      <c r="L13" s="1"/>
      <c r="M13" s="1"/>
      <c r="N13" s="1"/>
      <c r="O13" s="1"/>
      <c r="P13" s="1"/>
      <c r="Q13" s="1"/>
    </row>
    <row r="14" spans="1:18" ht="15.75" customHeight="1" thickBot="1" x14ac:dyDescent="0.25">
      <c r="A14" s="1"/>
      <c r="B14" s="1"/>
      <c r="C14" s="1"/>
      <c r="D14" s="1"/>
      <c r="E14" s="1"/>
      <c r="F14" s="1"/>
      <c r="G14" s="1"/>
      <c r="H14" s="1"/>
      <c r="I14" s="1"/>
      <c r="J14" s="1"/>
      <c r="K14" s="1"/>
      <c r="L14" s="1"/>
      <c r="M14" s="1"/>
      <c r="N14" s="1"/>
      <c r="O14" s="1"/>
      <c r="P14" s="1"/>
      <c r="Q14" s="1"/>
    </row>
    <row r="15" spans="1:18" ht="21" thickBot="1" x14ac:dyDescent="0.25">
      <c r="A15" s="324" t="s">
        <v>168</v>
      </c>
      <c r="B15" s="324"/>
      <c r="C15" s="324"/>
      <c r="D15" s="324"/>
      <c r="E15" s="324"/>
      <c r="F15" s="324"/>
      <c r="G15" s="324"/>
      <c r="H15" s="324"/>
      <c r="I15" s="324"/>
      <c r="J15" s="309">
        <f>Time!H27</f>
        <v>0.5454936438758804</v>
      </c>
      <c r="K15" s="309"/>
      <c r="L15" s="309"/>
      <c r="M15" s="1"/>
      <c r="N15" s="1"/>
      <c r="O15" s="310" t="s">
        <v>170</v>
      </c>
      <c r="P15" s="311"/>
      <c r="Q15" s="311"/>
      <c r="R15" s="312"/>
    </row>
    <row r="16" spans="1:18" ht="15.75" customHeight="1" thickBot="1" x14ac:dyDescent="0.25">
      <c r="A16" s="319" t="s">
        <v>127</v>
      </c>
      <c r="B16" s="319"/>
      <c r="C16" s="319"/>
      <c r="D16" s="323"/>
      <c r="E16" s="139">
        <f>E11*EXP(-E12*Angles!F13)</f>
        <v>871.78078508519502</v>
      </c>
      <c r="F16" s="135" t="s">
        <v>124</v>
      </c>
      <c r="G16" s="47"/>
      <c r="H16" s="1"/>
      <c r="I16" s="1"/>
      <c r="J16" s="1"/>
      <c r="K16" s="1"/>
      <c r="L16" s="1"/>
      <c r="M16" s="1"/>
      <c r="N16" s="1"/>
      <c r="O16" s="313" t="s">
        <v>171</v>
      </c>
      <c r="P16" s="314"/>
      <c r="Q16" s="198">
        <f>PSH!T37</f>
        <v>8.093047385554641</v>
      </c>
      <c r="R16" s="215" t="s">
        <v>175</v>
      </c>
    </row>
    <row r="17" spans="1:18" ht="15.75" customHeight="1" thickBot="1" x14ac:dyDescent="0.25">
      <c r="A17" s="1"/>
      <c r="B17" s="1"/>
      <c r="C17" s="1"/>
      <c r="D17" s="1"/>
      <c r="E17" s="1"/>
      <c r="F17" s="47"/>
      <c r="G17" s="47"/>
      <c r="H17" s="1"/>
      <c r="I17" s="1"/>
      <c r="J17" s="1"/>
      <c r="K17" s="1"/>
      <c r="L17" s="1"/>
      <c r="M17" s="1"/>
      <c r="N17" s="1"/>
      <c r="O17" s="313" t="s">
        <v>172</v>
      </c>
      <c r="P17" s="314"/>
      <c r="Q17" s="198">
        <f>PSH!W37</f>
        <v>10.33343591077959</v>
      </c>
      <c r="R17" s="215" t="s">
        <v>175</v>
      </c>
    </row>
    <row r="18" spans="1:18" ht="15.75" customHeight="1" thickBot="1" x14ac:dyDescent="0.25">
      <c r="A18" s="81"/>
      <c r="B18" s="1"/>
      <c r="C18" s="1"/>
      <c r="D18" s="1"/>
      <c r="E18" s="140" t="s">
        <v>26</v>
      </c>
      <c r="F18" s="98"/>
      <c r="G18" s="141" t="s">
        <v>25</v>
      </c>
      <c r="H18" s="47"/>
      <c r="I18" s="142" t="s">
        <v>58</v>
      </c>
      <c r="J18" s="1"/>
      <c r="K18" s="142" t="s">
        <v>59</v>
      </c>
      <c r="L18" s="1"/>
      <c r="M18" s="1"/>
      <c r="N18" s="1"/>
      <c r="O18" s="313" t="s">
        <v>173</v>
      </c>
      <c r="P18" s="314"/>
      <c r="Q18" s="198">
        <f>PSH!Z37</f>
        <v>9.9781513137811952</v>
      </c>
      <c r="R18" s="215" t="s">
        <v>175</v>
      </c>
    </row>
    <row r="19" spans="1:18" ht="15.75" customHeight="1" thickBot="1" x14ac:dyDescent="0.25">
      <c r="A19" s="307" t="s">
        <v>128</v>
      </c>
      <c r="B19" s="307"/>
      <c r="C19" s="307"/>
      <c r="D19" s="307"/>
      <c r="E19" s="191">
        <f>COS(RADIANS(Angles!F11))*COS(RADIANS(0-Insolation!L6))*SIN(RADIANS(0))+SIN(RADIANS(Angles!F11))*COS(RADIANS(0))</f>
        <v>0.94928628289485439</v>
      </c>
      <c r="F19" s="156">
        <f>DEGREES(ACOS(E19))</f>
        <v>18.325382564571967</v>
      </c>
      <c r="G19" s="191">
        <f>COS(RADIANS(Angles!F11))*COS(RADIANS(0-Insolation!L6))*SIN(RADIANS(Insolation!L7))+SIN(RADIANS(Angles!F11))*COS(RADIANS(Insolation!L7))</f>
        <v>0.95976794729530379</v>
      </c>
      <c r="H19" s="156">
        <f>DEGREES(ACOS(G19))</f>
        <v>16.307621872859404</v>
      </c>
      <c r="I19" s="191">
        <f>COS(RADIANS(Angles!F11))*COS(RADIANS(0-0))*SIN(RADIANS(Insolation!L7))+SIN(RADIANS(Angles!F11))*COS(RADIANS(Insolation!L7))</f>
        <v>0.96087971655782078</v>
      </c>
      <c r="J19" s="156">
        <f>DEGREES(ACOS(I19))</f>
        <v>16.07920980674152</v>
      </c>
      <c r="K19" s="191">
        <f>COS(RADIANS(Angles!F11))*COS(RADIANS(0-0))*SIN(RADIANS(90-Angles!F11))+SIN(RADIANS(Angles!F11))*COS(RADIANS(90-Angles!F11))</f>
        <v>1</v>
      </c>
      <c r="L19" s="156">
        <f>DEGREES(ACOS(K19))</f>
        <v>0</v>
      </c>
      <c r="M19" s="1"/>
      <c r="N19" s="1"/>
      <c r="O19" s="315" t="s">
        <v>174</v>
      </c>
      <c r="P19" s="316"/>
      <c r="Q19" s="199">
        <f>PSH!AC37</f>
        <v>10.855350327462155</v>
      </c>
      <c r="R19" s="216" t="s">
        <v>175</v>
      </c>
    </row>
    <row r="20" spans="1:18" ht="15.75" customHeight="1" x14ac:dyDescent="0.2">
      <c r="A20" s="319" t="s">
        <v>129</v>
      </c>
      <c r="B20" s="319"/>
      <c r="C20" s="319"/>
      <c r="D20" s="319"/>
      <c r="E20" s="192">
        <f>Insolation!E16*E19</f>
        <v>827.56954097268272</v>
      </c>
      <c r="F20" s="135" t="s">
        <v>124</v>
      </c>
      <c r="G20" s="192">
        <f>Insolation!E16*G19</f>
        <v>836.70725459270602</v>
      </c>
      <c r="H20" s="135" t="s">
        <v>124</v>
      </c>
      <c r="I20" s="192">
        <f>Insolation!E16*COS(RADIANS(Angles!F10))</f>
        <v>810.14264196336023</v>
      </c>
      <c r="J20" s="135" t="s">
        <v>124</v>
      </c>
      <c r="K20" s="192">
        <f>Insolation!E16</f>
        <v>871.78078508519502</v>
      </c>
      <c r="L20" s="135" t="s">
        <v>124</v>
      </c>
      <c r="M20" s="1"/>
      <c r="N20" s="1"/>
      <c r="O20" s="1"/>
      <c r="P20" s="1"/>
      <c r="Q20" s="1"/>
    </row>
    <row r="21" spans="1:18" ht="15.75" customHeight="1" thickBot="1" x14ac:dyDescent="0.25">
      <c r="A21" s="319" t="s">
        <v>130</v>
      </c>
      <c r="B21" s="319"/>
      <c r="C21" s="319"/>
      <c r="D21" s="319"/>
      <c r="E21" s="192">
        <f>E13*Insolation!E16</f>
        <v>117.61777482106234</v>
      </c>
      <c r="F21" s="135" t="s">
        <v>124</v>
      </c>
      <c r="G21" s="192">
        <f>E13*Insolation!E16*((1+COS(RADIANS(Insolation!L7)))/2)</f>
        <v>107.33023101914395</v>
      </c>
      <c r="H21" s="135" t="s">
        <v>124</v>
      </c>
      <c r="I21" s="192">
        <f>E13*Insolation!E16*((1+COS(RADIANS(90-Angles!F11+Angles!F10)))/2)</f>
        <v>103.8591088173782</v>
      </c>
      <c r="J21" s="135" t="s">
        <v>124</v>
      </c>
      <c r="K21" s="192">
        <f>E13*Insolation!E16*((1+COS(RADIANS(90-Angles!F11)))/2)</f>
        <v>114.6353575416563</v>
      </c>
      <c r="L21" s="135" t="s">
        <v>124</v>
      </c>
      <c r="M21" s="1"/>
      <c r="N21" s="1"/>
      <c r="O21" s="1"/>
      <c r="P21" s="1"/>
      <c r="Q21" s="1"/>
    </row>
    <row r="22" spans="1:18" ht="18" customHeight="1" thickBot="1" x14ac:dyDescent="0.25">
      <c r="A22" s="319" t="s">
        <v>131</v>
      </c>
      <c r="B22" s="319"/>
      <c r="C22" s="319"/>
      <c r="D22" s="319"/>
      <c r="E22" s="194">
        <f>L8*Insolation!E16*(SIN(RADIANS(Angles!F11))+E13)*((1-COS(RADIANS(0)))/2)</f>
        <v>0</v>
      </c>
      <c r="F22" s="135" t="s">
        <v>124</v>
      </c>
      <c r="G22" s="194">
        <f>L8*Insolation!E16*((SIN(RADIANS(Angles!F11)))+E13)*((1-COS(RADIANS(Insolation!L7)))/2)</f>
        <v>16.534330677550891</v>
      </c>
      <c r="H22" s="135" t="s">
        <v>124</v>
      </c>
      <c r="I22" s="194">
        <f>L8*((E16*SIN(RADIANS(Angles!F11)))+(E13*E16))*((1-COS(RADIANS(90-Angles!F11+Angles!F10)))/2)</f>
        <v>22.113182482340392</v>
      </c>
      <c r="J22" s="135" t="s">
        <v>124</v>
      </c>
      <c r="K22" s="194">
        <f>L8*((E16*SIN(RADIANS(Angles!F11)))+(E13*E16))*((1-COS(RADIANS(90-Angles!F11)))/2)</f>
        <v>4.7933962144535807</v>
      </c>
      <c r="L22" s="135" t="s">
        <v>124</v>
      </c>
      <c r="M22" s="1"/>
      <c r="N22" s="1"/>
      <c r="O22" s="310" t="s">
        <v>176</v>
      </c>
      <c r="P22" s="311"/>
      <c r="Q22" s="311"/>
      <c r="R22" s="312"/>
    </row>
    <row r="23" spans="1:18" ht="17.25" customHeight="1" thickBot="1" x14ac:dyDescent="0.25">
      <c r="A23" s="319" t="s">
        <v>132</v>
      </c>
      <c r="B23" s="319"/>
      <c r="C23" s="319"/>
      <c r="D23" s="319"/>
      <c r="E23" s="143">
        <f>E20+E21+E22</f>
        <v>945.18731579374503</v>
      </c>
      <c r="F23" s="135" t="s">
        <v>124</v>
      </c>
      <c r="G23" s="143">
        <f>SUM(G20,G21,G22)</f>
        <v>960.57181628940089</v>
      </c>
      <c r="H23" s="135" t="s">
        <v>124</v>
      </c>
      <c r="I23" s="143">
        <f>SUM(I20:I22)</f>
        <v>936.11493326307891</v>
      </c>
      <c r="J23" s="135" t="s">
        <v>124</v>
      </c>
      <c r="K23" s="143">
        <f>SUM(K20,K21,K22)</f>
        <v>991.20953884130483</v>
      </c>
      <c r="L23" s="135" t="s">
        <v>124</v>
      </c>
      <c r="M23" s="1"/>
      <c r="N23" s="1"/>
      <c r="O23" s="313" t="s">
        <v>171</v>
      </c>
      <c r="P23" s="314"/>
      <c r="Q23" s="213">
        <f>PSH!B125</f>
        <v>2029.5605705275836</v>
      </c>
      <c r="R23" s="218" t="s">
        <v>205</v>
      </c>
    </row>
    <row r="24" spans="1:18" ht="17.25" customHeight="1" thickBot="1" x14ac:dyDescent="0.25">
      <c r="A24" s="1" t="s">
        <v>141</v>
      </c>
      <c r="B24" s="1"/>
      <c r="C24" s="1"/>
      <c r="D24" s="1"/>
      <c r="E24" s="195">
        <f>E23/G23</f>
        <v>0.9839840184411357</v>
      </c>
      <c r="F24" s="144"/>
      <c r="G24" s="195">
        <f>G23/G23</f>
        <v>1</v>
      </c>
      <c r="H24" s="144"/>
      <c r="I24" s="195">
        <f>I23/G23</f>
        <v>0.97453924567473094</v>
      </c>
      <c r="J24" s="144"/>
      <c r="K24" s="195">
        <f>K23/G23</f>
        <v>1.0318952961479284</v>
      </c>
      <c r="L24" s="1"/>
      <c r="M24" s="1"/>
      <c r="N24" s="1"/>
      <c r="O24" s="313" t="s">
        <v>172</v>
      </c>
      <c r="P24" s="314"/>
      <c r="Q24" s="213">
        <f>PSH!C125</f>
        <v>2418.824469703361</v>
      </c>
      <c r="R24" s="218" t="s">
        <v>205</v>
      </c>
    </row>
    <row r="25" spans="1:18" ht="17.25" customHeight="1" thickBot="1" x14ac:dyDescent="0.25">
      <c r="A25" s="1"/>
      <c r="B25" s="1"/>
      <c r="C25" s="1"/>
      <c r="D25" s="1"/>
      <c r="E25" s="145"/>
      <c r="F25" s="47"/>
      <c r="G25" s="146"/>
      <c r="H25" s="147"/>
      <c r="I25" s="1"/>
      <c r="J25" s="1"/>
      <c r="K25" s="1"/>
      <c r="L25" s="1"/>
      <c r="M25" s="1"/>
      <c r="N25" s="1"/>
      <c r="O25" s="313" t="s">
        <v>173</v>
      </c>
      <c r="P25" s="314"/>
      <c r="Q25" s="213">
        <f>PSH!D125</f>
        <v>3168.7087970756838</v>
      </c>
      <c r="R25" s="218" t="s">
        <v>205</v>
      </c>
    </row>
    <row r="26" spans="1:18" ht="21" thickBot="1" x14ac:dyDescent="0.25">
      <c r="A26" s="324" t="s">
        <v>169</v>
      </c>
      <c r="B26" s="324"/>
      <c r="C26" s="324"/>
      <c r="D26" s="324"/>
      <c r="E26" s="324"/>
      <c r="F26" s="324"/>
      <c r="G26" s="324"/>
      <c r="H26" s="324"/>
      <c r="I26" s="324"/>
      <c r="J26" s="309">
        <f>Time!H13/24</f>
        <v>0.56527777777777777</v>
      </c>
      <c r="K26" s="309"/>
      <c r="L26" s="309"/>
      <c r="M26" s="1"/>
      <c r="N26" s="1"/>
      <c r="O26" s="315" t="s">
        <v>174</v>
      </c>
      <c r="P26" s="316"/>
      <c r="Q26" s="214">
        <f>PSH!E125</f>
        <v>3306.5155059610079</v>
      </c>
      <c r="R26" s="217" t="s">
        <v>205</v>
      </c>
    </row>
    <row r="27" spans="1:18" ht="15.75" customHeight="1" thickBot="1" x14ac:dyDescent="0.25">
      <c r="A27" s="319" t="s">
        <v>127</v>
      </c>
      <c r="B27" s="319"/>
      <c r="C27" s="319"/>
      <c r="D27" s="323"/>
      <c r="E27" s="138">
        <f>IF(Angles!F18&gt;0,E11*EXP(-E12*Angles!F21),0)</f>
        <v>870.66478929403252</v>
      </c>
      <c r="F27" s="135" t="s">
        <v>124</v>
      </c>
      <c r="G27" s="47"/>
      <c r="H27" s="1"/>
      <c r="I27" s="1"/>
      <c r="J27" s="1"/>
      <c r="K27" s="135"/>
      <c r="L27" s="1"/>
      <c r="M27" s="1"/>
      <c r="N27" s="1"/>
      <c r="O27" s="1"/>
      <c r="P27" s="1"/>
      <c r="Q27" s="1"/>
    </row>
    <row r="28" spans="1:18" ht="15.75" customHeight="1" x14ac:dyDescent="0.2">
      <c r="A28" s="148"/>
      <c r="B28" s="148"/>
      <c r="C28" s="148"/>
      <c r="D28" s="148"/>
      <c r="E28" s="111"/>
      <c r="F28" s="47"/>
      <c r="G28" s="47"/>
      <c r="H28" s="1"/>
      <c r="I28" s="1"/>
      <c r="J28" s="1"/>
      <c r="K28" s="1"/>
      <c r="L28" s="1"/>
      <c r="M28" s="1"/>
      <c r="N28" s="1"/>
      <c r="O28" s="1"/>
      <c r="P28" s="1"/>
      <c r="Q28" s="1"/>
    </row>
    <row r="29" spans="1:18" ht="15.75" customHeight="1" x14ac:dyDescent="0.2">
      <c r="A29" s="81"/>
      <c r="B29" s="1"/>
      <c r="C29" s="1"/>
      <c r="D29" s="1"/>
      <c r="E29" s="140" t="s">
        <v>26</v>
      </c>
      <c r="F29" s="98"/>
      <c r="G29" s="141" t="s">
        <v>25</v>
      </c>
      <c r="H29" s="47"/>
      <c r="I29" s="142" t="s">
        <v>58</v>
      </c>
      <c r="J29" s="1"/>
      <c r="K29" s="142" t="s">
        <v>59</v>
      </c>
      <c r="L29" s="1"/>
      <c r="M29" s="1"/>
      <c r="N29" s="1"/>
      <c r="O29" s="1"/>
      <c r="P29" s="1"/>
      <c r="Q29" s="1"/>
    </row>
    <row r="30" spans="1:18" ht="15.75" customHeight="1" x14ac:dyDescent="0.2">
      <c r="A30" s="307" t="s">
        <v>128</v>
      </c>
      <c r="B30" s="307"/>
      <c r="C30" s="307"/>
      <c r="D30" s="307"/>
      <c r="E30" s="193">
        <f>COS(RADIANS(Angles!F18))*COS(RADIANS(Angles!F19-Insolation!L6))*SIN(RADIANS(0))+(SIN(RADIANS(Angles!F18))*COS(RADIANS(0)))</f>
        <v>0.94379324389864072</v>
      </c>
      <c r="F30" s="156">
        <f>DEGREES(ACOS(E30))</f>
        <v>19.301336108512508</v>
      </c>
      <c r="G30" s="193">
        <f>COS(RADIANS(Angles!F18))*COS(RADIANS(Angles!F19-Insolation!L6))*SIN(RADIANS(Insolation!L7))+SIN(RADIANS(Angles!F18))*COS(RADIANS(Insolation!L7))</f>
        <v>0.95991987084660679</v>
      </c>
      <c r="H30" s="156">
        <f>DEGREES(ACOS(G30))</f>
        <v>16.276593323530623</v>
      </c>
      <c r="I30" s="191">
        <f>COS(RADIANS(Angles!F18))*COS(RADIANS(Angles!F19-Angles!F19))*SIN(RADIANS(Insolation!L7))+SIN(RADIANS(Angles!F18))*COS(RADIANS(Insolation!L7))</f>
        <v>0.96545782419566695</v>
      </c>
      <c r="J30" s="156">
        <f>DEGREES(ACOS(I30))</f>
        <v>15.103256262800965</v>
      </c>
      <c r="K30" s="191">
        <f>COS(RADIANS(Angles!F18))*COS(RADIANS(Angles!F19-Angles!F19))*SIN(RADIANS(90-Angles!F18))+SIN(RADIANS(Angles!F18))*COS(RADIANS(90-Angles!F18))</f>
        <v>1</v>
      </c>
      <c r="L30" s="156">
        <f>DEGREES(ACOS(K30))</f>
        <v>0</v>
      </c>
      <c r="M30" s="1"/>
      <c r="N30" s="1"/>
      <c r="O30" s="1"/>
      <c r="P30" s="1"/>
      <c r="Q30" s="1"/>
    </row>
    <row r="31" spans="1:18" ht="15.75" customHeight="1" x14ac:dyDescent="0.2">
      <c r="A31" s="319" t="s">
        <v>129</v>
      </c>
      <c r="B31" s="319"/>
      <c r="C31" s="319"/>
      <c r="D31" s="319"/>
      <c r="E31" s="192">
        <f>Insolation!E27*E30</f>
        <v>821.72754583614142</v>
      </c>
      <c r="F31" s="135" t="s">
        <v>124</v>
      </c>
      <c r="G31" s="192">
        <f>IF(G30&lt;0,0,Insolation!E27*G30)</f>
        <v>835.76843208981586</v>
      </c>
      <c r="H31" s="135" t="s">
        <v>124</v>
      </c>
      <c r="I31" s="192">
        <f>Insolation!E27*COS(RADIANS(Angles!F10))</f>
        <v>809.10555122433448</v>
      </c>
      <c r="J31" s="135" t="s">
        <v>124</v>
      </c>
      <c r="K31" s="192">
        <f>Insolation!E27</f>
        <v>870.66478929403252</v>
      </c>
      <c r="L31" s="135" t="s">
        <v>124</v>
      </c>
      <c r="M31" s="1"/>
      <c r="N31" s="1"/>
      <c r="O31" s="1"/>
      <c r="P31" s="1"/>
      <c r="Q31" s="1"/>
    </row>
    <row r="32" spans="1:18" ht="15.75" customHeight="1" x14ac:dyDescent="0.2">
      <c r="A32" s="319" t="s">
        <v>130</v>
      </c>
      <c r="B32" s="319"/>
      <c r="C32" s="319"/>
      <c r="D32" s="319"/>
      <c r="E32" s="192">
        <f>E13*Insolation!E27</f>
        <v>117.46720836684372</v>
      </c>
      <c r="F32" s="135" t="s">
        <v>124</v>
      </c>
      <c r="G32" s="192">
        <f>E13*Insolation!E27*((1+COS(RADIANS(L7)))/2)</f>
        <v>107.19283399442041</v>
      </c>
      <c r="H32" s="135" t="s">
        <v>124</v>
      </c>
      <c r="I32" s="192">
        <f>E13*Insolation!E27*((1+COS(RADIANS(90-Angles!F18+Angles!F10)))/2)</f>
        <v>103.07658582446717</v>
      </c>
      <c r="J32" s="135" t="s">
        <v>124</v>
      </c>
      <c r="K32" s="192">
        <f>E13*Insolation!E27*((1+COS(RADIANS(90-Angles!F18)))/2)</f>
        <v>114.16598300155235</v>
      </c>
      <c r="L32" s="135" t="s">
        <v>124</v>
      </c>
      <c r="M32" s="1"/>
      <c r="N32" s="1"/>
      <c r="O32" s="1"/>
      <c r="P32" s="1"/>
      <c r="Q32" s="1"/>
    </row>
    <row r="33" spans="1:19" ht="15.75" customHeight="1" thickBot="1" x14ac:dyDescent="0.25">
      <c r="A33" s="319" t="s">
        <v>131</v>
      </c>
      <c r="B33" s="319"/>
      <c r="C33" s="319"/>
      <c r="D33" s="319"/>
      <c r="E33" s="194">
        <f>L8*Insolation!E27*(SIN(RADIANS(Angles!F18))+E13)*((1-COS(RADIANS(0)))/2)</f>
        <v>0</v>
      </c>
      <c r="F33" s="135" t="s">
        <v>124</v>
      </c>
      <c r="G33" s="194">
        <f>L8*Insolation!E27*((SIN(RADIANS(Angles!F18)))+E13)*((1-COS(RADIANS(Insolation!L7)))/2)</f>
        <v>16.429501726409065</v>
      </c>
      <c r="H33" s="135" t="s">
        <v>124</v>
      </c>
      <c r="I33" s="194">
        <f>L8*((E27*SIN(RADIANS(Angles!F18)))+(E13*E27))*((1-COS(RADIANS(90-Angles!F18+Angles!F10)))/2)</f>
        <v>23.011693883635669</v>
      </c>
      <c r="J33" s="135" t="s">
        <v>124</v>
      </c>
      <c r="K33" s="194">
        <f>L8*((E27*SIN(RADIANS(Angles!F18)))+(E13*E27))*((1-COS(RADIANS(90-Angles!F18)))/2)</f>
        <v>5.2789090481163266</v>
      </c>
      <c r="L33" s="135" t="s">
        <v>124</v>
      </c>
      <c r="M33" s="1"/>
      <c r="N33" s="1"/>
      <c r="O33" s="1"/>
      <c r="P33" s="1"/>
      <c r="Q33" s="1"/>
    </row>
    <row r="34" spans="1:19" ht="15.75" customHeight="1" thickBot="1" x14ac:dyDescent="0.25">
      <c r="A34" s="319" t="s">
        <v>132</v>
      </c>
      <c r="B34" s="319"/>
      <c r="C34" s="319"/>
      <c r="D34" s="319"/>
      <c r="E34" s="143">
        <f>SUM(E31:E33)</f>
        <v>939.19475420298511</v>
      </c>
      <c r="F34" s="135" t="s">
        <v>124</v>
      </c>
      <c r="G34" s="143">
        <f>SUM(G31,G32,G33)</f>
        <v>959.39076781064534</v>
      </c>
      <c r="H34" s="135" t="s">
        <v>124</v>
      </c>
      <c r="I34" s="143">
        <f>SUM(I31:I33)</f>
        <v>935.19383093243732</v>
      </c>
      <c r="J34" s="135" t="s">
        <v>124</v>
      </c>
      <c r="K34" s="143">
        <f>SUM(K31,K32,K33)</f>
        <v>990.10968134370125</v>
      </c>
      <c r="L34" s="135" t="s">
        <v>124</v>
      </c>
      <c r="M34" s="1"/>
      <c r="N34" s="1"/>
      <c r="O34" s="1"/>
      <c r="P34" s="1"/>
      <c r="Q34" s="1"/>
    </row>
    <row r="35" spans="1:19" ht="15.75" customHeight="1" x14ac:dyDescent="0.2">
      <c r="A35" s="1" t="s">
        <v>141</v>
      </c>
      <c r="B35" s="1"/>
      <c r="C35" s="1"/>
      <c r="D35" s="1"/>
      <c r="E35" s="195">
        <f>IFERROR(E34/G34,0)</f>
        <v>0.97894912658608535</v>
      </c>
      <c r="F35" s="144"/>
      <c r="G35" s="195">
        <f>IFERROR(G34/G34,0)</f>
        <v>1</v>
      </c>
      <c r="H35" s="144"/>
      <c r="I35" s="195">
        <f>IFERROR(I34/G34,0)</f>
        <v>0.97477885165246481</v>
      </c>
      <c r="J35" s="144"/>
      <c r="K35" s="195">
        <f>IFERROR(K34/G34,0)</f>
        <v>1.032019188180388</v>
      </c>
      <c r="L35" s="1"/>
      <c r="M35" s="1"/>
      <c r="N35" s="1"/>
      <c r="O35" s="1"/>
      <c r="P35" s="1"/>
      <c r="Q35" s="1"/>
    </row>
    <row r="36" spans="1:19" ht="15.75" customHeight="1" thickBot="1" x14ac:dyDescent="0.25">
      <c r="A36" s="1"/>
      <c r="B36" s="1"/>
      <c r="C36" s="1"/>
      <c r="D36" s="1"/>
      <c r="E36" s="145"/>
      <c r="F36" s="47"/>
      <c r="G36" s="146"/>
      <c r="H36" s="1"/>
      <c r="I36" s="1"/>
      <c r="J36" s="1"/>
      <c r="K36" s="1"/>
      <c r="L36" s="1"/>
      <c r="M36" s="1"/>
      <c r="N36" s="1"/>
      <c r="O36" s="1"/>
      <c r="P36" s="1"/>
      <c r="Q36" s="1"/>
    </row>
    <row r="37" spans="1:19" ht="15.75" customHeight="1" x14ac:dyDescent="0.2">
      <c r="A37" s="298" t="s">
        <v>207</v>
      </c>
      <c r="B37" s="299"/>
      <c r="C37" s="299"/>
      <c r="D37" s="299"/>
      <c r="E37" s="299"/>
      <c r="F37" s="299"/>
      <c r="G37" s="299"/>
      <c r="H37" s="300"/>
      <c r="I37" s="1"/>
      <c r="J37" s="1"/>
      <c r="K37" s="1"/>
      <c r="L37" s="1"/>
      <c r="M37" s="1"/>
      <c r="N37" s="1"/>
      <c r="O37" s="1"/>
      <c r="P37" s="1"/>
      <c r="Q37" s="1"/>
    </row>
    <row r="38" spans="1:19" ht="15.75" customHeight="1" x14ac:dyDescent="0.2">
      <c r="A38" s="301"/>
      <c r="B38" s="302"/>
      <c r="C38" s="302"/>
      <c r="D38" s="302"/>
      <c r="E38" s="302"/>
      <c r="F38" s="302"/>
      <c r="G38" s="302"/>
      <c r="H38" s="303"/>
      <c r="I38" s="1"/>
      <c r="J38" s="1"/>
      <c r="K38" s="1"/>
      <c r="L38" s="1"/>
      <c r="M38" s="1"/>
      <c r="N38" s="1"/>
      <c r="O38" s="1"/>
      <c r="P38" s="1"/>
      <c r="Q38" s="1"/>
    </row>
    <row r="39" spans="1:19" ht="15.75" customHeight="1" x14ac:dyDescent="0.2">
      <c r="A39" s="301"/>
      <c r="B39" s="302"/>
      <c r="C39" s="302"/>
      <c r="D39" s="302"/>
      <c r="E39" s="302"/>
      <c r="F39" s="302"/>
      <c r="G39" s="302"/>
      <c r="H39" s="303"/>
      <c r="I39" s="1"/>
      <c r="J39" s="149"/>
      <c r="K39" s="1"/>
      <c r="L39" s="1"/>
      <c r="M39" s="1"/>
      <c r="N39" s="1"/>
      <c r="O39" s="1"/>
      <c r="P39" s="1"/>
      <c r="Q39" s="1"/>
    </row>
    <row r="40" spans="1:19" ht="15.75" customHeight="1" x14ac:dyDescent="0.2">
      <c r="A40" s="301"/>
      <c r="B40" s="302"/>
      <c r="C40" s="302"/>
      <c r="D40" s="302"/>
      <c r="E40" s="302"/>
      <c r="F40" s="302"/>
      <c r="G40" s="302"/>
      <c r="H40" s="303"/>
      <c r="I40" s="1"/>
      <c r="J40" s="46" t="s">
        <v>107</v>
      </c>
      <c r="K40" s="46"/>
      <c r="L40" s="46"/>
      <c r="M40" s="46"/>
      <c r="N40" s="1"/>
      <c r="O40" s="1"/>
      <c r="P40" s="1"/>
      <c r="Q40" s="1"/>
    </row>
    <row r="41" spans="1:19" ht="15.75" customHeight="1" thickBot="1" x14ac:dyDescent="0.25">
      <c r="A41" s="304"/>
      <c r="B41" s="305"/>
      <c r="C41" s="305"/>
      <c r="D41" s="305"/>
      <c r="E41" s="305"/>
      <c r="F41" s="305"/>
      <c r="G41" s="305"/>
      <c r="H41" s="306"/>
      <c r="I41" s="1"/>
      <c r="J41" s="46"/>
      <c r="K41" s="46"/>
      <c r="L41" s="221" t="s">
        <v>101</v>
      </c>
      <c r="M41" s="222">
        <f>(C43/39.37)*(C44/39.37)</f>
        <v>1.485266712468909</v>
      </c>
      <c r="N41" s="1"/>
      <c r="O41" s="1"/>
      <c r="P41" s="1"/>
      <c r="Q41" s="1"/>
    </row>
    <row r="42" spans="1:19" ht="15.75" customHeight="1" x14ac:dyDescent="0.2">
      <c r="A42" s="1"/>
      <c r="B42" s="1"/>
      <c r="C42" s="1"/>
      <c r="D42" s="1"/>
      <c r="E42" s="1"/>
      <c r="F42" s="1"/>
      <c r="G42" s="1"/>
      <c r="H42" s="1"/>
      <c r="J42" s="221" t="s">
        <v>104</v>
      </c>
      <c r="K42" s="221"/>
      <c r="L42" s="221"/>
      <c r="M42" s="223">
        <f>IF(Angles!F18&gt;0,E11*EXP(-E12*1.5),0)</f>
        <v>794.12109352715288</v>
      </c>
    </row>
    <row r="43" spans="1:19" ht="15.75" customHeight="1" x14ac:dyDescent="0.2">
      <c r="A43" s="317" t="s">
        <v>94</v>
      </c>
      <c r="B43" s="318"/>
      <c r="C43" s="150">
        <v>59.06</v>
      </c>
      <c r="D43" s="1" t="s">
        <v>96</v>
      </c>
      <c r="E43" s="227" t="s">
        <v>100</v>
      </c>
      <c r="F43" s="227"/>
      <c r="G43" s="227"/>
      <c r="H43" s="227"/>
      <c r="J43" s="221" t="s">
        <v>103</v>
      </c>
      <c r="K43" s="221"/>
      <c r="L43" s="221"/>
      <c r="M43" s="223">
        <f>1*C47/M41</f>
        <v>144.75514612632281</v>
      </c>
    </row>
    <row r="44" spans="1:19" ht="15.75" customHeight="1" x14ac:dyDescent="0.2">
      <c r="A44" s="317" t="s">
        <v>95</v>
      </c>
      <c r="B44" s="318"/>
      <c r="C44" s="150">
        <v>38.979999999999997</v>
      </c>
      <c r="D44" s="1" t="s">
        <v>96</v>
      </c>
      <c r="E44" s="1"/>
      <c r="F44" s="86">
        <f>IFERROR(F46/F45,0)</f>
        <v>6.4186479364036799</v>
      </c>
      <c r="G44" s="1" t="s">
        <v>97</v>
      </c>
      <c r="H44" s="1"/>
      <c r="J44" s="221" t="s">
        <v>105</v>
      </c>
      <c r="K44" s="221"/>
      <c r="L44" s="221"/>
      <c r="M44" s="223">
        <f>M43*M42/1000</f>
        <v>114.95311493551829</v>
      </c>
      <c r="S44" s="22"/>
    </row>
    <row r="45" spans="1:19" ht="15.75" customHeight="1" x14ac:dyDescent="0.2">
      <c r="A45" s="320" t="s">
        <v>133</v>
      </c>
      <c r="B45" s="321"/>
      <c r="C45" s="150">
        <v>8.09</v>
      </c>
      <c r="D45" s="1" t="s">
        <v>97</v>
      </c>
      <c r="E45" s="1"/>
      <c r="F45" s="88">
        <f>IF(Angles!F18&gt;0,C46,0)</f>
        <v>26.6</v>
      </c>
      <c r="G45" s="1" t="s">
        <v>98</v>
      </c>
      <c r="H45" s="1"/>
      <c r="J45" s="221" t="s">
        <v>106</v>
      </c>
      <c r="K45" s="221"/>
      <c r="L45" s="221"/>
      <c r="M45" s="223">
        <f>M41*M44</f>
        <v>170.73603510833789</v>
      </c>
      <c r="S45" s="22"/>
    </row>
    <row r="46" spans="1:19" ht="15.75" customHeight="1" x14ac:dyDescent="0.2">
      <c r="A46" s="320" t="s">
        <v>134</v>
      </c>
      <c r="B46" s="321"/>
      <c r="C46" s="150">
        <v>26.6</v>
      </c>
      <c r="D46" s="1" t="s">
        <v>98</v>
      </c>
      <c r="E46" s="1"/>
      <c r="F46" s="86">
        <f>M45</f>
        <v>170.73603510833789</v>
      </c>
      <c r="G46" s="1" t="s">
        <v>99</v>
      </c>
      <c r="H46" s="1"/>
      <c r="S46" s="22"/>
    </row>
    <row r="47" spans="1:19" ht="15.75" customHeight="1" x14ac:dyDescent="0.2">
      <c r="A47" s="320" t="s">
        <v>135</v>
      </c>
      <c r="B47" s="321"/>
      <c r="C47" s="150">
        <v>215</v>
      </c>
      <c r="D47" s="1" t="s">
        <v>99</v>
      </c>
      <c r="E47" s="1"/>
      <c r="F47" s="219">
        <f>M44/E16</f>
        <v>0.13186011541225293</v>
      </c>
      <c r="G47" s="1" t="s">
        <v>102</v>
      </c>
      <c r="H47" s="1"/>
    </row>
    <row r="48" spans="1:19" ht="15.75" customHeight="1" x14ac:dyDescent="0.2">
      <c r="A48" s="1"/>
      <c r="B48" s="1"/>
      <c r="C48" s="227" t="str">
        <f>IF(OR(C45*C46&gt;C47+10,C45*C46&lt;C47-10),"Check your values","")</f>
        <v/>
      </c>
      <c r="D48" s="227"/>
      <c r="E48" s="1"/>
      <c r="F48" s="1"/>
      <c r="H48" s="1"/>
    </row>
  </sheetData>
  <dataConsolidate/>
  <mergeCells count="44">
    <mergeCell ref="A21:D21"/>
    <mergeCell ref="A27:D27"/>
    <mergeCell ref="A37:H41"/>
    <mergeCell ref="A44:B44"/>
    <mergeCell ref="E43:H43"/>
    <mergeCell ref="A26:I26"/>
    <mergeCell ref="A22:D22"/>
    <mergeCell ref="A23:D23"/>
    <mergeCell ref="A1:Q2"/>
    <mergeCell ref="O3:Q3"/>
    <mergeCell ref="I3:J3"/>
    <mergeCell ref="I4:J4"/>
    <mergeCell ref="I5:J5"/>
    <mergeCell ref="A3:H8"/>
    <mergeCell ref="A10:D10"/>
    <mergeCell ref="A11:D11"/>
    <mergeCell ref="A12:D12"/>
    <mergeCell ref="A13:D13"/>
    <mergeCell ref="A20:D20"/>
    <mergeCell ref="A19:D19"/>
    <mergeCell ref="A16:D16"/>
    <mergeCell ref="A15:I15"/>
    <mergeCell ref="O26:P26"/>
    <mergeCell ref="C48:D48"/>
    <mergeCell ref="A30:D30"/>
    <mergeCell ref="A43:B43"/>
    <mergeCell ref="A33:D33"/>
    <mergeCell ref="A34:D34"/>
    <mergeCell ref="A31:D31"/>
    <mergeCell ref="A32:D32"/>
    <mergeCell ref="A45:B45"/>
    <mergeCell ref="A46:B46"/>
    <mergeCell ref="A47:B47"/>
    <mergeCell ref="J26:L26"/>
    <mergeCell ref="O19:P19"/>
    <mergeCell ref="O22:R22"/>
    <mergeCell ref="O23:P23"/>
    <mergeCell ref="O24:P24"/>
    <mergeCell ref="O25:P25"/>
    <mergeCell ref="J15:L15"/>
    <mergeCell ref="O15:R15"/>
    <mergeCell ref="O16:P16"/>
    <mergeCell ref="O17:P17"/>
    <mergeCell ref="O18:P18"/>
  </mergeCells>
  <phoneticPr fontId="1" type="noConversion"/>
  <conditionalFormatting sqref="C48">
    <cfRule type="notContainsBlanks" dxfId="1" priority="2">
      <formula>LEN(TRIM(C48))&gt;0</formula>
    </cfRule>
  </conditionalFormatting>
  <dataValidations count="3">
    <dataValidation type="decimal" allowBlank="1" showInputMessage="1" showErrorMessage="1" errorTitle="Invalid Entry" error="The coefficient for the Reflect of the Surface is any value between 0-1._x000a_" sqref="L8" xr:uid="{00000000-0002-0000-0300-000000000000}">
      <formula1>0</formula1>
      <formula2>1</formula2>
    </dataValidation>
    <dataValidation type="decimal" allowBlank="1" showInputMessage="1" showErrorMessage="1" errorTitle="Invalid Entry" error="Tilt angle values are from 0-90 degrees from the horizontal." sqref="L7" xr:uid="{00000000-0002-0000-0300-000001000000}">
      <formula1>0</formula1>
      <formula2>90</formula2>
    </dataValidation>
    <dataValidation type="decimal" allowBlank="1" showInputMessage="1" showErrorMessage="1" errorTitle="Invalid Entry" error="Values must be between -180 to 180. 180 degrees either from east or west means that the panel is facing true north. " sqref="L6" xr:uid="{00000000-0002-0000-0300-000002000000}">
      <formula1>-180</formula1>
      <formula2>180</formula2>
    </dataValidation>
  </dataValidations>
  <pageMargins left="0.75" right="0.75" top="1" bottom="1" header="0.5" footer="0.5"/>
  <pageSetup orientation="portrait" horizontalDpi="300" verticalDpi="300" r:id="rId1"/>
  <headerFooter alignWithMargins="0"/>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sheetPr>
  <dimension ref="A1:N32"/>
  <sheetViews>
    <sheetView workbookViewId="0">
      <selection activeCell="A26" sqref="A26"/>
    </sheetView>
  </sheetViews>
  <sheetFormatPr baseColWidth="10" defaultColWidth="8.83203125" defaultRowHeight="15" customHeight="1" x14ac:dyDescent="0.15"/>
  <cols>
    <col min="1" max="1" width="10.33203125" style="19" customWidth="1"/>
    <col min="2" max="2" width="14" style="19" customWidth="1"/>
    <col min="3" max="4" width="8.83203125" style="19"/>
    <col min="5" max="5" width="9.6640625" style="19" customWidth="1"/>
    <col min="6" max="16384" width="8.83203125" style="19"/>
  </cols>
  <sheetData>
    <row r="1" spans="1:14" ht="15" customHeight="1" x14ac:dyDescent="0.15">
      <c r="A1" s="325" t="s">
        <v>63</v>
      </c>
      <c r="B1" s="326"/>
      <c r="C1" s="326"/>
      <c r="D1" s="326"/>
      <c r="E1" s="326"/>
      <c r="F1" s="326"/>
      <c r="G1" s="326"/>
      <c r="H1" s="326"/>
      <c r="I1" s="326"/>
      <c r="J1" s="327"/>
      <c r="K1" s="34"/>
      <c r="L1" s="34"/>
      <c r="M1" s="34"/>
      <c r="N1" s="34"/>
    </row>
    <row r="2" spans="1:14" ht="15" customHeight="1" thickBot="1" x14ac:dyDescent="0.2">
      <c r="A2" s="328"/>
      <c r="B2" s="329"/>
      <c r="C2" s="329"/>
      <c r="D2" s="329"/>
      <c r="E2" s="329"/>
      <c r="F2" s="329"/>
      <c r="G2" s="329"/>
      <c r="H2" s="329"/>
      <c r="I2" s="329"/>
      <c r="J2" s="330"/>
      <c r="K2" s="34"/>
      <c r="L2" s="34"/>
      <c r="M2" s="34"/>
      <c r="N2" s="34"/>
    </row>
    <row r="3" spans="1:14" ht="15" customHeight="1" x14ac:dyDescent="0.15">
      <c r="A3" s="298" t="s">
        <v>228</v>
      </c>
      <c r="B3" s="299"/>
      <c r="C3" s="299"/>
      <c r="D3" s="299"/>
      <c r="E3" s="299"/>
      <c r="F3" s="299"/>
      <c r="G3" s="299"/>
      <c r="H3" s="299"/>
      <c r="I3" s="299"/>
      <c r="J3" s="300"/>
      <c r="K3" s="33"/>
      <c r="L3" s="33"/>
      <c r="M3" s="33"/>
      <c r="N3" s="33"/>
    </row>
    <row r="4" spans="1:14" ht="15" customHeight="1" x14ac:dyDescent="0.15">
      <c r="A4" s="301"/>
      <c r="B4" s="302"/>
      <c r="C4" s="302"/>
      <c r="D4" s="302"/>
      <c r="E4" s="302"/>
      <c r="F4" s="302"/>
      <c r="G4" s="302"/>
      <c r="H4" s="302"/>
      <c r="I4" s="302"/>
      <c r="J4" s="303"/>
      <c r="K4" s="33"/>
      <c r="L4" s="33"/>
      <c r="M4" s="33"/>
      <c r="N4" s="33"/>
    </row>
    <row r="5" spans="1:14" thickBot="1" x14ac:dyDescent="0.2">
      <c r="A5" s="304"/>
      <c r="B5" s="305"/>
      <c r="C5" s="305"/>
      <c r="D5" s="305"/>
      <c r="E5" s="305"/>
      <c r="F5" s="305"/>
      <c r="G5" s="305"/>
      <c r="H5" s="305"/>
      <c r="I5" s="305"/>
      <c r="J5" s="306"/>
    </row>
    <row r="6" spans="1:14" ht="15" customHeight="1" x14ac:dyDescent="0.2">
      <c r="A6" s="1"/>
      <c r="B6" s="1"/>
      <c r="C6" s="1"/>
      <c r="D6" s="1"/>
      <c r="E6" s="1"/>
      <c r="F6" s="1"/>
      <c r="G6" s="1"/>
      <c r="H6" s="1"/>
      <c r="I6" s="1"/>
      <c r="J6" s="1"/>
    </row>
    <row r="7" spans="1:14" ht="22.5" customHeight="1" thickBot="1" x14ac:dyDescent="0.25">
      <c r="A7" s="308" t="s">
        <v>64</v>
      </c>
      <c r="B7" s="308"/>
      <c r="C7" s="308"/>
      <c r="D7" s="308"/>
      <c r="E7" s="308"/>
      <c r="F7" s="1"/>
      <c r="G7" s="1"/>
      <c r="H7" s="1"/>
      <c r="I7" s="1"/>
      <c r="J7" s="1"/>
    </row>
    <row r="8" spans="1:14" ht="15" customHeight="1" thickBot="1" x14ac:dyDescent="0.25">
      <c r="A8" s="1" t="s">
        <v>65</v>
      </c>
      <c r="B8" s="1"/>
      <c r="C8" s="151">
        <f>DEGREES(ACOS((-TAN(RADIANS(Time!P4))*TAN(RADIANS(Angles!F10)))))</f>
        <v>109.48060669646733</v>
      </c>
      <c r="D8" s="1" t="s">
        <v>0</v>
      </c>
      <c r="E8" s="1"/>
      <c r="F8" s="1"/>
      <c r="G8" s="1"/>
      <c r="H8" s="1"/>
      <c r="I8" s="1"/>
      <c r="J8" s="1"/>
    </row>
    <row r="9" spans="1:14" ht="15" customHeight="1" thickBot="1" x14ac:dyDescent="0.25">
      <c r="A9" s="1" t="s">
        <v>136</v>
      </c>
      <c r="B9" s="1"/>
      <c r="C9" s="152">
        <f>C8/15</f>
        <v>7.2987071130978221</v>
      </c>
      <c r="D9" s="1" t="s">
        <v>49</v>
      </c>
      <c r="E9" s="1"/>
      <c r="F9" s="1"/>
      <c r="G9" s="1"/>
      <c r="H9" s="1"/>
      <c r="I9" s="1"/>
      <c r="J9" s="1"/>
    </row>
    <row r="10" spans="1:14" ht="15" customHeight="1" thickBot="1" x14ac:dyDescent="0.25">
      <c r="A10" s="93" t="s">
        <v>69</v>
      </c>
      <c r="B10" s="93"/>
      <c r="C10" s="1"/>
      <c r="D10" s="1"/>
      <c r="E10" s="1"/>
      <c r="F10" s="1"/>
      <c r="G10" s="1"/>
      <c r="H10" s="1"/>
      <c r="I10" s="1"/>
      <c r="J10" s="1"/>
    </row>
    <row r="11" spans="1:14" ht="15" customHeight="1" thickBot="1" x14ac:dyDescent="0.25">
      <c r="A11" s="1"/>
      <c r="B11" s="1" t="s">
        <v>71</v>
      </c>
      <c r="C11" s="151">
        <f>12-(C8/15)</f>
        <v>4.7012928869021779</v>
      </c>
      <c r="D11" s="47" t="s">
        <v>22</v>
      </c>
      <c r="E11" s="196">
        <f>C11/24</f>
        <v>0.19588720362092407</v>
      </c>
      <c r="F11" s="1"/>
      <c r="G11" s="1"/>
      <c r="H11" s="1"/>
      <c r="I11" s="1"/>
      <c r="J11" s="1"/>
    </row>
    <row r="12" spans="1:14" ht="15" customHeight="1" thickBot="1" x14ac:dyDescent="0.25">
      <c r="A12" s="1"/>
      <c r="B12" s="1" t="s">
        <v>70</v>
      </c>
      <c r="C12" s="151">
        <f>C11-(12-Time!C27)</f>
        <v>5.7931403399233075</v>
      </c>
      <c r="D12" s="47" t="s">
        <v>22</v>
      </c>
      <c r="E12" s="35">
        <f>C12/24</f>
        <v>0.24138084749680447</v>
      </c>
      <c r="F12" s="1"/>
      <c r="G12" s="1"/>
      <c r="H12" s="1"/>
      <c r="I12" s="1"/>
      <c r="J12" s="1"/>
    </row>
    <row r="13" spans="1:14" ht="15" customHeight="1" thickBot="1" x14ac:dyDescent="0.25">
      <c r="A13" s="1" t="s">
        <v>137</v>
      </c>
      <c r="B13" s="1"/>
      <c r="C13" s="151">
        <f>3.467/(COS(RADIANS(Time!P4))*COS(RADIANS(Angles!F10))*SIN(RADIANS('Sunrise-Sunset'!C8)))</f>
        <v>5.1659131093348947</v>
      </c>
      <c r="D13" s="1" t="s">
        <v>66</v>
      </c>
      <c r="E13" s="1"/>
      <c r="F13" s="1"/>
      <c r="G13" s="1"/>
      <c r="H13" s="1"/>
      <c r="I13" s="1"/>
      <c r="J13" s="1"/>
    </row>
    <row r="14" spans="1:14" ht="15" customHeight="1" thickBot="1" x14ac:dyDescent="0.25">
      <c r="A14" s="93" t="s">
        <v>229</v>
      </c>
      <c r="B14" s="93"/>
      <c r="C14" s="1"/>
      <c r="D14" s="1"/>
      <c r="E14" s="1"/>
      <c r="F14" s="1"/>
      <c r="G14" s="1"/>
      <c r="H14" s="1"/>
      <c r="I14" s="1"/>
      <c r="J14" s="1"/>
    </row>
    <row r="15" spans="1:14" ht="15" customHeight="1" thickBot="1" x14ac:dyDescent="0.25">
      <c r="A15" s="1"/>
      <c r="B15" s="1" t="s">
        <v>71</v>
      </c>
      <c r="C15" s="151">
        <f>C11-(C13/60)</f>
        <v>4.6151943350799298</v>
      </c>
      <c r="D15" s="47" t="s">
        <v>22</v>
      </c>
      <c r="E15" s="196">
        <f>C15/24</f>
        <v>0.19229976396166373</v>
      </c>
      <c r="F15" s="1"/>
      <c r="G15" s="1"/>
      <c r="H15" s="1"/>
      <c r="I15" s="1"/>
      <c r="J15" s="1"/>
    </row>
    <row r="16" spans="1:14" ht="15" customHeight="1" thickBot="1" x14ac:dyDescent="0.25">
      <c r="A16" s="1"/>
      <c r="B16" s="1" t="s">
        <v>70</v>
      </c>
      <c r="C16" s="151">
        <f>C15-(12-Time!C27)</f>
        <v>5.7070417881010593</v>
      </c>
      <c r="D16" s="47" t="s">
        <v>22</v>
      </c>
      <c r="E16" s="35">
        <f>C16/24</f>
        <v>0.23779340783754413</v>
      </c>
      <c r="F16" s="1"/>
      <c r="G16" s="1"/>
      <c r="H16" s="1"/>
      <c r="I16" s="1"/>
      <c r="J16" s="1"/>
    </row>
    <row r="17" spans="1:10" ht="15" customHeight="1" x14ac:dyDescent="0.2">
      <c r="A17" s="1"/>
      <c r="B17" s="1"/>
      <c r="C17" s="1"/>
      <c r="D17" s="1"/>
      <c r="E17" s="1"/>
      <c r="F17" s="1"/>
      <c r="G17" s="1"/>
      <c r="H17" s="1"/>
      <c r="I17" s="1"/>
      <c r="J17" s="1"/>
    </row>
    <row r="18" spans="1:10" ht="15" customHeight="1" x14ac:dyDescent="0.2">
      <c r="A18" s="1"/>
      <c r="B18" s="1"/>
      <c r="C18" s="1"/>
      <c r="D18" s="1"/>
      <c r="E18" s="1"/>
      <c r="F18" s="1"/>
      <c r="G18" s="1"/>
      <c r="H18" s="1"/>
      <c r="I18" s="1"/>
      <c r="J18" s="1"/>
    </row>
    <row r="19" spans="1:10" ht="22.5" customHeight="1" thickBot="1" x14ac:dyDescent="0.25">
      <c r="A19" s="308" t="s">
        <v>67</v>
      </c>
      <c r="B19" s="308"/>
      <c r="C19" s="308"/>
      <c r="D19" s="308"/>
      <c r="E19" s="308"/>
      <c r="F19" s="1"/>
      <c r="G19" s="1"/>
      <c r="H19" s="1"/>
      <c r="I19" s="1"/>
      <c r="J19" s="1"/>
    </row>
    <row r="20" spans="1:10" ht="15" customHeight="1" thickBot="1" x14ac:dyDescent="0.25">
      <c r="A20" s="1" t="s">
        <v>65</v>
      </c>
      <c r="B20" s="1"/>
      <c r="C20" s="151">
        <f>DEGREES(ACOS((-TAN(RADIANS(Time!P4))*TAN(RADIANS(Angles!F10)))))</f>
        <v>109.48060669646733</v>
      </c>
      <c r="D20" s="1" t="s">
        <v>0</v>
      </c>
      <c r="E20" s="1"/>
      <c r="F20" s="1"/>
      <c r="G20" s="1"/>
      <c r="H20" s="1"/>
      <c r="I20" s="1"/>
      <c r="J20" s="1"/>
    </row>
    <row r="21" spans="1:10" ht="15" customHeight="1" thickBot="1" x14ac:dyDescent="0.25">
      <c r="A21" s="1" t="s">
        <v>138</v>
      </c>
      <c r="B21" s="1"/>
      <c r="C21" s="152">
        <f>C20/15</f>
        <v>7.2987071130978221</v>
      </c>
      <c r="D21" s="1" t="s">
        <v>49</v>
      </c>
      <c r="E21" s="1"/>
      <c r="F21" s="1"/>
      <c r="G21" s="1"/>
      <c r="H21" s="1"/>
      <c r="I21" s="1"/>
      <c r="J21" s="1"/>
    </row>
    <row r="22" spans="1:10" ht="15" customHeight="1" thickBot="1" x14ac:dyDescent="0.25">
      <c r="A22" s="93" t="s">
        <v>68</v>
      </c>
      <c r="B22" s="1"/>
      <c r="C22" s="91"/>
      <c r="D22" s="1"/>
      <c r="E22" s="1"/>
      <c r="F22" s="1"/>
      <c r="G22" s="1"/>
      <c r="H22" s="1"/>
      <c r="I22" s="1"/>
      <c r="J22" s="1"/>
    </row>
    <row r="23" spans="1:10" ht="15" customHeight="1" thickBot="1" x14ac:dyDescent="0.25">
      <c r="A23" s="1"/>
      <c r="B23" s="1" t="s">
        <v>71</v>
      </c>
      <c r="C23" s="151">
        <f>12+(C20/15)</f>
        <v>19.298707113097823</v>
      </c>
      <c r="D23" s="47" t="s">
        <v>22</v>
      </c>
      <c r="E23" s="196">
        <f>C23/24</f>
        <v>0.80411279637907596</v>
      </c>
      <c r="F23" s="1"/>
      <c r="G23" s="1"/>
      <c r="H23" s="1"/>
      <c r="I23" s="1"/>
      <c r="J23" s="1"/>
    </row>
    <row r="24" spans="1:10" ht="15" customHeight="1" thickBot="1" x14ac:dyDescent="0.25">
      <c r="A24" s="1"/>
      <c r="B24" s="1" t="s">
        <v>70</v>
      </c>
      <c r="C24" s="151">
        <f>C23-(12-Time!C27)</f>
        <v>20.390554566118951</v>
      </c>
      <c r="D24" s="47" t="s">
        <v>22</v>
      </c>
      <c r="E24" s="35">
        <f>C24/24</f>
        <v>0.84960644025495624</v>
      </c>
      <c r="F24" s="1"/>
      <c r="G24" s="1"/>
      <c r="H24" s="1"/>
      <c r="I24" s="1"/>
      <c r="J24" s="1"/>
    </row>
    <row r="25" spans="1:10" ht="15" customHeight="1" thickBot="1" x14ac:dyDescent="0.25">
      <c r="A25" s="1" t="s">
        <v>137</v>
      </c>
      <c r="B25" s="1"/>
      <c r="C25" s="151">
        <f>3.467/(COS(RADIANS(Time!P4))*COS(RADIANS(Angles!F10))*SIN(RADIANS('Sunrise-Sunset'!C20)))</f>
        <v>5.1659131093348947</v>
      </c>
      <c r="D25" s="1" t="s">
        <v>66</v>
      </c>
      <c r="E25" s="1"/>
      <c r="F25" s="1"/>
      <c r="G25" s="1"/>
      <c r="H25" s="1"/>
      <c r="I25" s="1"/>
      <c r="J25" s="1"/>
    </row>
    <row r="26" spans="1:10" ht="15" customHeight="1" thickBot="1" x14ac:dyDescent="0.25">
      <c r="A26" s="93" t="s">
        <v>229</v>
      </c>
      <c r="B26" s="1"/>
      <c r="C26" s="91"/>
      <c r="D26" s="1"/>
      <c r="E26" s="1"/>
      <c r="F26" s="1"/>
      <c r="G26" s="1"/>
      <c r="H26" s="1"/>
      <c r="I26" s="1"/>
      <c r="J26" s="1"/>
    </row>
    <row r="27" spans="1:10" ht="15" customHeight="1" thickBot="1" x14ac:dyDescent="0.25">
      <c r="A27" s="1"/>
      <c r="B27" s="1" t="s">
        <v>71</v>
      </c>
      <c r="C27" s="151">
        <f>C23+(C25/60)</f>
        <v>19.384805664920073</v>
      </c>
      <c r="D27" s="47" t="s">
        <v>22</v>
      </c>
      <c r="E27" s="196">
        <f>C27/24</f>
        <v>0.80770023603833641</v>
      </c>
      <c r="F27" s="1"/>
      <c r="G27" s="1"/>
      <c r="H27" s="1"/>
      <c r="I27" s="1"/>
      <c r="J27" s="1"/>
    </row>
    <row r="28" spans="1:10" ht="15" customHeight="1" thickBot="1" x14ac:dyDescent="0.25">
      <c r="A28" s="1"/>
      <c r="B28" s="1" t="s">
        <v>70</v>
      </c>
      <c r="C28" s="151">
        <f>C27-(12-Time!C27)</f>
        <v>20.476653117941204</v>
      </c>
      <c r="D28" s="47" t="s">
        <v>22</v>
      </c>
      <c r="E28" s="35">
        <f>C28/24</f>
        <v>0.8531938799142168</v>
      </c>
      <c r="F28" s="1"/>
      <c r="G28" s="1"/>
      <c r="H28" s="1"/>
      <c r="I28" s="1"/>
      <c r="J28" s="1"/>
    </row>
    <row r="29" spans="1:10" ht="15" customHeight="1" x14ac:dyDescent="0.2">
      <c r="A29" s="1"/>
      <c r="B29" s="1"/>
      <c r="C29" s="1"/>
      <c r="D29" s="1"/>
      <c r="E29" s="1"/>
      <c r="F29" s="1"/>
      <c r="G29" s="1"/>
      <c r="H29" s="1"/>
      <c r="I29" s="1"/>
      <c r="J29" s="1"/>
    </row>
    <row r="30" spans="1:10" ht="15" customHeight="1" x14ac:dyDescent="0.2">
      <c r="A30" s="1"/>
      <c r="B30" s="1"/>
      <c r="C30" s="1"/>
      <c r="D30" s="1"/>
      <c r="E30" s="1"/>
      <c r="F30" s="1"/>
      <c r="G30" s="1"/>
      <c r="H30" s="1"/>
      <c r="I30" s="1"/>
      <c r="J30" s="1"/>
    </row>
    <row r="31" spans="1:10" ht="15" customHeight="1" thickBot="1" x14ac:dyDescent="0.25">
      <c r="A31" s="1"/>
      <c r="B31" s="37" t="s">
        <v>72</v>
      </c>
      <c r="C31" s="153">
        <f>C28-C16</f>
        <v>14.769611329840146</v>
      </c>
      <c r="D31" s="154" t="s">
        <v>73</v>
      </c>
      <c r="E31" s="1"/>
      <c r="F31" s="1"/>
      <c r="G31" s="1"/>
      <c r="H31" s="1"/>
      <c r="I31" s="1"/>
      <c r="J31" s="1"/>
    </row>
    <row r="32" spans="1:10" ht="15" customHeight="1" thickTop="1" x14ac:dyDescent="0.2">
      <c r="A32" s="1"/>
      <c r="B32" s="1"/>
      <c r="C32" s="1"/>
      <c r="D32" s="1"/>
      <c r="E32" s="1"/>
      <c r="F32" s="1"/>
      <c r="G32" s="1"/>
      <c r="H32" s="1"/>
      <c r="I32" s="1"/>
      <c r="J32" s="1"/>
    </row>
  </sheetData>
  <mergeCells count="4">
    <mergeCell ref="A3:J5"/>
    <mergeCell ref="A7:E7"/>
    <mergeCell ref="A19:E19"/>
    <mergeCell ref="A1:J2"/>
  </mergeCells>
  <pageMargins left="0.7" right="0.7" top="0.75" bottom="0.75" header="0.3" footer="0.3"/>
  <pageSetup orientation="portrait" horizontalDpi="1200" verticalDpi="1200"/>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
  <sheetViews>
    <sheetView zoomScale="80" zoomScaleNormal="80" zoomScalePageLayoutView="80" workbookViewId="0">
      <selection activeCell="AC16" sqref="AC16"/>
    </sheetView>
  </sheetViews>
  <sheetFormatPr baseColWidth="10" defaultColWidth="8.83203125" defaultRowHeight="13"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59999389629810485"/>
  </sheetPr>
  <dimension ref="A1:P34"/>
  <sheetViews>
    <sheetView workbookViewId="0">
      <selection activeCell="B20" sqref="B20"/>
    </sheetView>
  </sheetViews>
  <sheetFormatPr baseColWidth="10" defaultColWidth="8.83203125" defaultRowHeight="13" x14ac:dyDescent="0.15"/>
  <cols>
    <col min="1" max="1" width="10" bestFit="1" customWidth="1"/>
    <col min="2" max="2" width="12.1640625" bestFit="1" customWidth="1"/>
    <col min="3" max="3" width="7.83203125" bestFit="1" customWidth="1"/>
    <col min="4" max="4" width="8.83203125" bestFit="1" customWidth="1"/>
    <col min="5" max="5" width="8.83203125" customWidth="1"/>
    <col min="7" max="7" width="8.6640625" bestFit="1" customWidth="1"/>
    <col min="8" max="8" width="10.1640625" bestFit="1" customWidth="1"/>
    <col min="9" max="9" width="8.5" bestFit="1" customWidth="1"/>
    <col min="11" max="11" width="15.1640625" bestFit="1" customWidth="1"/>
  </cols>
  <sheetData>
    <row r="1" spans="1:16" x14ac:dyDescent="0.15">
      <c r="A1" s="36" t="s">
        <v>166</v>
      </c>
      <c r="B1" s="36" t="s">
        <v>81</v>
      </c>
      <c r="C1" s="36" t="s">
        <v>60</v>
      </c>
      <c r="D1" s="36" t="s">
        <v>84</v>
      </c>
      <c r="E1" s="36"/>
      <c r="G1" s="39" t="s">
        <v>85</v>
      </c>
      <c r="H1" s="39" t="s">
        <v>86</v>
      </c>
      <c r="I1" s="39" t="s">
        <v>87</v>
      </c>
      <c r="K1" s="36" t="s">
        <v>55</v>
      </c>
      <c r="L1">
        <f>Time!P4</f>
        <v>40</v>
      </c>
    </row>
    <row r="2" spans="1:16" x14ac:dyDescent="0.15">
      <c r="A2">
        <v>4.5</v>
      </c>
      <c r="B2" s="40">
        <f t="shared" ref="B2:B32" si="0">DEGREES(ASIN(COS(RADIANS($L$1))*COS(RADIANS($L$3))*COS(RADIANS(H2))+SIN(RADIANS($L$1))*SIN(RADIANS($L$3))))</f>
        <v>-2.0069953232628306</v>
      </c>
      <c r="C2" s="40">
        <f t="shared" ref="C2:C32" si="1">IF(COS(RADIANS(H2))&gt;=((TAN(RADIANS($L$3)))/(TAN(RADIANS($L$1)))),(DEGREES(ASIN(COS(RADIANS($L$3))*SIN(RADIANS(H2))/COS(RADIANS(B2))))),IF(A2&lt;12,(180-DEGREES(ASIN(COS(RADIANS($L$3))*SIN(RADIANS(H2))/COS(RADIANS(B2))))),(180-DEGREES(ASIN(COS(RADIANS($L$3))*SIN(RADIANS(H2))/COS(RADIANS(B2))))-360)))</f>
        <v>120.78601954335207</v>
      </c>
      <c r="D2" s="42">
        <f>IF(B2&gt;0,Insolation!$E$11*EXP(-Insolation!$E$12*I2),0)</f>
        <v>0</v>
      </c>
      <c r="E2" s="42"/>
      <c r="G2" s="40">
        <f>12-A2</f>
        <v>7.5</v>
      </c>
      <c r="H2" s="40">
        <f t="shared" ref="H2:H32" si="2">15*G2</f>
        <v>112.5</v>
      </c>
      <c r="I2" s="41">
        <f>ABS(1/SIN(RADIANS(B2)))</f>
        <v>28.553877326637458</v>
      </c>
      <c r="K2" s="36" t="s">
        <v>42</v>
      </c>
      <c r="L2">
        <f>Time!P9</f>
        <v>195</v>
      </c>
    </row>
    <row r="3" spans="1:16" x14ac:dyDescent="0.15">
      <c r="A3">
        <v>5</v>
      </c>
      <c r="B3" s="40">
        <f t="shared" si="0"/>
        <v>3.0470129919582356</v>
      </c>
      <c r="C3" s="40">
        <f t="shared" si="1"/>
        <v>115.98587406696335</v>
      </c>
      <c r="D3" s="42">
        <f>IF(B3&gt;0,Insolation!$E$11*EXP(-Insolation!$E$12*I3),0)</f>
        <v>21.330251603928545</v>
      </c>
      <c r="E3" s="42"/>
      <c r="G3" s="40">
        <f t="shared" ref="G3:G32" si="3">12-A3</f>
        <v>7</v>
      </c>
      <c r="H3" s="40">
        <f t="shared" si="2"/>
        <v>105</v>
      </c>
      <c r="I3" s="41">
        <f t="shared" ref="I3:I32" si="4">ABS(1/SIN(RADIANS(B3)))</f>
        <v>18.812783364413043</v>
      </c>
      <c r="K3" s="36" t="s">
        <v>80</v>
      </c>
      <c r="L3" s="38">
        <f>Angles!F10</f>
        <v>21.67461743542804</v>
      </c>
    </row>
    <row r="4" spans="1:16" x14ac:dyDescent="0.15">
      <c r="A4">
        <v>5.5</v>
      </c>
      <c r="B4" s="40">
        <f t="shared" si="0"/>
        <v>8.3074433839540767</v>
      </c>
      <c r="C4" s="40">
        <f t="shared" si="1"/>
        <v>111.39051599924704</v>
      </c>
      <c r="D4" s="42">
        <f>IF(B4&gt;0,Insolation!$E$11*EXP(-Insolation!$E$12*I4),0)</f>
        <v>255.85521607712755</v>
      </c>
      <c r="E4" s="42"/>
      <c r="G4" s="40">
        <f t="shared" si="3"/>
        <v>6.5</v>
      </c>
      <c r="H4" s="40">
        <f>15*G4</f>
        <v>97.5</v>
      </c>
      <c r="I4" s="41">
        <f t="shared" si="4"/>
        <v>6.9211456275942176</v>
      </c>
    </row>
    <row r="5" spans="1:16" x14ac:dyDescent="0.15">
      <c r="A5">
        <v>6</v>
      </c>
      <c r="B5" s="40">
        <f t="shared" si="0"/>
        <v>13.733374622678625</v>
      </c>
      <c r="C5" s="40">
        <f t="shared" si="1"/>
        <v>106.93303174869352</v>
      </c>
      <c r="D5" s="42">
        <f>IF(B5&gt;0,Insolation!$E$11*EXP(-Insolation!$E$12*I5),0)</f>
        <v>450.59906074971565</v>
      </c>
      <c r="E5" s="42"/>
      <c r="G5" s="40">
        <f t="shared" si="3"/>
        <v>6</v>
      </c>
      <c r="H5" s="40">
        <f t="shared" si="2"/>
        <v>90</v>
      </c>
      <c r="I5" s="41">
        <f t="shared" si="4"/>
        <v>4.212228404530479</v>
      </c>
    </row>
    <row r="6" spans="1:16" x14ac:dyDescent="0.15">
      <c r="A6">
        <v>6.5</v>
      </c>
      <c r="B6" s="40">
        <f t="shared" si="0"/>
        <v>19.288400265904052</v>
      </c>
      <c r="C6" s="40">
        <f t="shared" si="1"/>
        <v>102.54154881848109</v>
      </c>
      <c r="D6" s="42">
        <f>IF(B6&gt;0,Insolation!$E$11*EXP(-Insolation!$E$12*I6),0)</f>
        <v>577.16827150589779</v>
      </c>
      <c r="E6" s="42"/>
      <c r="G6" s="40">
        <f t="shared" si="3"/>
        <v>5.5</v>
      </c>
      <c r="H6" s="40">
        <f t="shared" si="2"/>
        <v>82.5</v>
      </c>
      <c r="I6" s="41">
        <f t="shared" si="4"/>
        <v>3.0273370648305207</v>
      </c>
    </row>
    <row r="7" spans="1:16" x14ac:dyDescent="0.15">
      <c r="A7">
        <v>7</v>
      </c>
      <c r="B7" s="40">
        <f t="shared" si="0"/>
        <v>24.938974353617681</v>
      </c>
      <c r="C7" s="40">
        <f t="shared" si="1"/>
        <v>98.135798556741733</v>
      </c>
      <c r="D7" s="42">
        <f>IF(B7&gt;0,Insolation!$E$11*EXP(-Insolation!$E$12*I7),0)</f>
        <v>661.91088166891188</v>
      </c>
      <c r="E7" s="42"/>
      <c r="G7" s="40">
        <f t="shared" si="3"/>
        <v>5</v>
      </c>
      <c r="H7" s="40">
        <f t="shared" si="2"/>
        <v>75</v>
      </c>
      <c r="I7" s="41">
        <f t="shared" si="4"/>
        <v>2.3716199706462486</v>
      </c>
    </row>
    <row r="8" spans="1:16" x14ac:dyDescent="0.15">
      <c r="A8">
        <v>7.5</v>
      </c>
      <c r="B8" s="40">
        <f t="shared" si="0"/>
        <v>30.652478432782889</v>
      </c>
      <c r="C8" s="40">
        <f t="shared" si="1"/>
        <v>93.621207565703884</v>
      </c>
      <c r="D8" s="42">
        <f>IF(B8&gt;0,Insolation!$E$11*EXP(-Insolation!$E$12*I8),0)</f>
        <v>721.13667917955854</v>
      </c>
      <c r="E8" s="42"/>
      <c r="G8" s="40">
        <f t="shared" si="3"/>
        <v>4.5</v>
      </c>
      <c r="H8" s="40">
        <f t="shared" si="2"/>
        <v>67.5</v>
      </c>
      <c r="I8" s="41">
        <f t="shared" si="4"/>
        <v>1.9614397646091866</v>
      </c>
    </row>
    <row r="9" spans="1:16" x14ac:dyDescent="0.15">
      <c r="A9">
        <v>8</v>
      </c>
      <c r="B9" s="40">
        <f t="shared" si="0"/>
        <v>36.394751762200009</v>
      </c>
      <c r="C9" s="40">
        <f t="shared" si="1"/>
        <v>88.879352942611533</v>
      </c>
      <c r="D9" s="42">
        <f>IF(B9&gt;0,Insolation!$E$11*EXP(-Insolation!$E$12*I9),0)</f>
        <v>763.95531634958468</v>
      </c>
      <c r="E9" s="42"/>
      <c r="G9" s="40">
        <f t="shared" si="3"/>
        <v>4</v>
      </c>
      <c r="H9" s="40">
        <f t="shared" si="2"/>
        <v>60</v>
      </c>
      <c r="I9" s="41">
        <f t="shared" si="4"/>
        <v>1.6853596744439299</v>
      </c>
    </row>
    <row r="10" spans="1:16" x14ac:dyDescent="0.15">
      <c r="A10">
        <v>8.5</v>
      </c>
      <c r="B10" s="40">
        <f t="shared" si="0"/>
        <v>42.126559294713232</v>
      </c>
      <c r="C10" s="40">
        <f t="shared" si="1"/>
        <v>83.752504032486897</v>
      </c>
      <c r="D10" s="42">
        <f>IF(B10&gt;0,Insolation!$E$11*EXP(-Insolation!$E$12*I10),0)</f>
        <v>795.64515908117096</v>
      </c>
      <c r="E10" s="42"/>
      <c r="G10" s="40">
        <f t="shared" si="3"/>
        <v>3.5</v>
      </c>
      <c r="H10" s="40">
        <f t="shared" si="2"/>
        <v>52.5</v>
      </c>
      <c r="I10" s="41">
        <f t="shared" si="4"/>
        <v>1.4908228944817985</v>
      </c>
    </row>
    <row r="11" spans="1:16" x14ac:dyDescent="0.15">
      <c r="A11">
        <v>9</v>
      </c>
      <c r="B11" s="40">
        <f t="shared" si="0"/>
        <v>47.797970161517192</v>
      </c>
      <c r="C11" s="40">
        <f t="shared" si="1"/>
        <v>78.018125103721204</v>
      </c>
      <c r="D11" s="42">
        <f>IF(B11&gt;0,Insolation!$E$11*EXP(-Insolation!$E$12*I11),0)</f>
        <v>819.41467747467846</v>
      </c>
      <c r="E11" s="42"/>
      <c r="G11" s="40">
        <f t="shared" si="3"/>
        <v>3</v>
      </c>
      <c r="H11" s="40">
        <f t="shared" si="2"/>
        <v>45</v>
      </c>
      <c r="I11" s="41">
        <f t="shared" si="4"/>
        <v>1.3499269986241178</v>
      </c>
    </row>
    <row r="12" spans="1:16" x14ac:dyDescent="0.15">
      <c r="A12">
        <v>9.5</v>
      </c>
      <c r="B12" s="40">
        <f t="shared" si="0"/>
        <v>53.338610815998862</v>
      </c>
      <c r="C12" s="40">
        <f t="shared" si="1"/>
        <v>71.34643563701313</v>
      </c>
      <c r="D12" s="42">
        <f>IF(B12&gt;0,Insolation!$E$11*EXP(-Insolation!$E$12*I12),0)</f>
        <v>837.29534768075985</v>
      </c>
      <c r="E12" s="42"/>
      <c r="G12" s="40">
        <f t="shared" si="3"/>
        <v>2.5</v>
      </c>
      <c r="H12" s="40">
        <f t="shared" si="2"/>
        <v>37.5</v>
      </c>
      <c r="I12" s="41">
        <f t="shared" si="4"/>
        <v>1.2466058144574741</v>
      </c>
    </row>
    <row r="13" spans="1:16" x14ac:dyDescent="0.15">
      <c r="A13">
        <v>10</v>
      </c>
      <c r="B13" s="40">
        <f t="shared" si="0"/>
        <v>58.639760317883933</v>
      </c>
      <c r="C13" s="40">
        <f t="shared" si="1"/>
        <v>63.232039853994458</v>
      </c>
      <c r="D13" s="42">
        <f>IF(B13&gt;0,Insolation!$E$11*EXP(-Insolation!$E$12*I13),0)</f>
        <v>850.6120287102292</v>
      </c>
      <c r="E13" s="42"/>
      <c r="G13" s="40">
        <f t="shared" si="3"/>
        <v>2</v>
      </c>
      <c r="H13" s="40">
        <f t="shared" si="2"/>
        <v>30</v>
      </c>
      <c r="I13" s="41">
        <f t="shared" si="4"/>
        <v>1.1710806611694113</v>
      </c>
      <c r="O13" t="s">
        <v>60</v>
      </c>
    </row>
    <row r="14" spans="1:16" x14ac:dyDescent="0.15">
      <c r="A14">
        <v>10.5</v>
      </c>
      <c r="B14" s="40">
        <f t="shared" si="0"/>
        <v>63.520952647447686</v>
      </c>
      <c r="C14" s="40">
        <f t="shared" si="1"/>
        <v>52.901520178593017</v>
      </c>
      <c r="D14" s="42">
        <f>IF(B14&gt;0,Insolation!$E$11*EXP(-Insolation!$E$12*I14),0)</f>
        <v>860.24215969044008</v>
      </c>
      <c r="E14" s="42"/>
      <c r="G14" s="40">
        <f t="shared" si="3"/>
        <v>1.5</v>
      </c>
      <c r="H14" s="40">
        <f t="shared" si="2"/>
        <v>22.5</v>
      </c>
      <c r="I14" s="41">
        <f t="shared" si="4"/>
        <v>1.1171967636217104</v>
      </c>
      <c r="N14" t="s">
        <v>83</v>
      </c>
      <c r="P14" t="s">
        <v>84</v>
      </c>
    </row>
    <row r="15" spans="1:16" x14ac:dyDescent="0.15">
      <c r="A15">
        <v>11</v>
      </c>
      <c r="B15" s="40">
        <f t="shared" si="0"/>
        <v>67.672801248514745</v>
      </c>
      <c r="C15" s="40">
        <f t="shared" si="1"/>
        <v>39.280736262274445</v>
      </c>
      <c r="D15" s="42">
        <f>IF(B15&gt;0,Insolation!$E$11*EXP(-Insolation!$E$12*I15),0)</f>
        <v>866.76394608455882</v>
      </c>
      <c r="E15" s="42"/>
      <c r="G15" s="40">
        <f t="shared" si="3"/>
        <v>1</v>
      </c>
      <c r="H15" s="40">
        <f t="shared" si="2"/>
        <v>15</v>
      </c>
      <c r="I15" s="41">
        <f t="shared" si="4"/>
        <v>1.0810466239061851</v>
      </c>
      <c r="O15" t="s">
        <v>82</v>
      </c>
    </row>
    <row r="16" spans="1:16" x14ac:dyDescent="0.15">
      <c r="A16">
        <v>11.5</v>
      </c>
      <c r="B16" s="40">
        <f t="shared" si="0"/>
        <v>70.595407628686516</v>
      </c>
      <c r="C16" s="40">
        <f t="shared" si="1"/>
        <v>21.413343221011026</v>
      </c>
      <c r="D16" s="42">
        <f>IF(B16&gt;0,Insolation!$E$11*EXP(-Insolation!$E$12*I16),0)</f>
        <v>870.54275966790544</v>
      </c>
      <c r="E16" s="42"/>
      <c r="G16" s="40">
        <f t="shared" si="3"/>
        <v>0.5</v>
      </c>
      <c r="H16" s="40">
        <f t="shared" si="2"/>
        <v>7.5</v>
      </c>
      <c r="I16" s="41">
        <f t="shared" si="4"/>
        <v>1.0602249867066289</v>
      </c>
    </row>
    <row r="17" spans="1:9" x14ac:dyDescent="0.15">
      <c r="A17">
        <v>12</v>
      </c>
      <c r="B17" s="40">
        <f t="shared" si="0"/>
        <v>71.674617435428033</v>
      </c>
      <c r="C17" s="40">
        <f t="shared" si="1"/>
        <v>0</v>
      </c>
      <c r="D17" s="42">
        <f>IF(B17&gt;0,Insolation!$E$11*EXP(-Insolation!$E$12*I17),0)</f>
        <v>871.78078508519502</v>
      </c>
      <c r="E17" s="42"/>
      <c r="G17" s="40">
        <f t="shared" si="3"/>
        <v>0</v>
      </c>
      <c r="H17" s="40">
        <f t="shared" si="2"/>
        <v>0</v>
      </c>
      <c r="I17" s="41">
        <f t="shared" si="4"/>
        <v>1.0534229958011125</v>
      </c>
    </row>
    <row r="18" spans="1:9" x14ac:dyDescent="0.15">
      <c r="A18">
        <v>12.5</v>
      </c>
      <c r="B18" s="40">
        <f t="shared" si="0"/>
        <v>70.595407628686516</v>
      </c>
      <c r="C18" s="40">
        <f t="shared" si="1"/>
        <v>-21.413343221011026</v>
      </c>
      <c r="D18" s="42">
        <f>IF(B18&gt;0,Insolation!$E$11*EXP(-Insolation!$E$12*I18),0)</f>
        <v>870.54275966790544</v>
      </c>
      <c r="E18" s="42"/>
      <c r="G18" s="40">
        <f t="shared" si="3"/>
        <v>-0.5</v>
      </c>
      <c r="H18" s="40">
        <f t="shared" si="2"/>
        <v>-7.5</v>
      </c>
      <c r="I18" s="41">
        <f t="shared" si="4"/>
        <v>1.0602249867066289</v>
      </c>
    </row>
    <row r="19" spans="1:9" x14ac:dyDescent="0.15">
      <c r="A19">
        <v>13</v>
      </c>
      <c r="B19" s="40">
        <f t="shared" si="0"/>
        <v>67.672801248514745</v>
      </c>
      <c r="C19" s="40">
        <f t="shared" si="1"/>
        <v>-39.280736262274438</v>
      </c>
      <c r="D19" s="42">
        <f>IF(B19&gt;0,Insolation!$E$11*EXP(-Insolation!$E$12*I19),0)</f>
        <v>866.76394608455882</v>
      </c>
      <c r="E19" s="42"/>
      <c r="G19" s="40">
        <f t="shared" si="3"/>
        <v>-1</v>
      </c>
      <c r="H19" s="40">
        <f t="shared" si="2"/>
        <v>-15</v>
      </c>
      <c r="I19" s="41">
        <f t="shared" si="4"/>
        <v>1.0810466239061851</v>
      </c>
    </row>
    <row r="20" spans="1:9" x14ac:dyDescent="0.15">
      <c r="A20">
        <v>13.5</v>
      </c>
      <c r="B20" s="40">
        <f t="shared" si="0"/>
        <v>63.520952647447686</v>
      </c>
      <c r="C20" s="40">
        <f t="shared" si="1"/>
        <v>-52.901520178593024</v>
      </c>
      <c r="D20" s="42">
        <f>IF(B20&gt;0,Insolation!$E$11*EXP(-Insolation!$E$12*I20),0)</f>
        <v>860.24215969044008</v>
      </c>
      <c r="E20" s="42"/>
      <c r="G20" s="40">
        <f t="shared" si="3"/>
        <v>-1.5</v>
      </c>
      <c r="H20" s="40">
        <f t="shared" si="2"/>
        <v>-22.5</v>
      </c>
      <c r="I20" s="41">
        <f t="shared" si="4"/>
        <v>1.1171967636217104</v>
      </c>
    </row>
    <row r="21" spans="1:9" x14ac:dyDescent="0.15">
      <c r="A21">
        <v>14</v>
      </c>
      <c r="B21" s="40">
        <f t="shared" si="0"/>
        <v>58.639760317883933</v>
      </c>
      <c r="C21" s="40">
        <f t="shared" si="1"/>
        <v>-63.232039853994472</v>
      </c>
      <c r="D21" s="42">
        <f>IF(B21&gt;0,Insolation!$E$11*EXP(-Insolation!$E$12*I21),0)</f>
        <v>850.6120287102292</v>
      </c>
      <c r="E21" s="42"/>
      <c r="G21" s="40">
        <f t="shared" si="3"/>
        <v>-2</v>
      </c>
      <c r="H21" s="40">
        <f t="shared" si="2"/>
        <v>-30</v>
      </c>
      <c r="I21" s="41">
        <f t="shared" si="4"/>
        <v>1.1710806611694113</v>
      </c>
    </row>
    <row r="22" spans="1:9" x14ac:dyDescent="0.15">
      <c r="A22">
        <v>14.5</v>
      </c>
      <c r="B22" s="40">
        <f t="shared" si="0"/>
        <v>53.338610815998862</v>
      </c>
      <c r="C22" s="40">
        <f t="shared" si="1"/>
        <v>-71.34643563701313</v>
      </c>
      <c r="D22" s="42">
        <f>IF(B22&gt;0,Insolation!$E$11*EXP(-Insolation!$E$12*I22),0)</f>
        <v>837.29534768075985</v>
      </c>
      <c r="E22" s="42"/>
      <c r="G22" s="40">
        <f t="shared" si="3"/>
        <v>-2.5</v>
      </c>
      <c r="H22" s="40">
        <f t="shared" si="2"/>
        <v>-37.5</v>
      </c>
      <c r="I22" s="41">
        <f t="shared" si="4"/>
        <v>1.2466058144574741</v>
      </c>
    </row>
    <row r="23" spans="1:9" x14ac:dyDescent="0.15">
      <c r="A23">
        <v>15</v>
      </c>
      <c r="B23" s="40">
        <f t="shared" si="0"/>
        <v>47.797970161517192</v>
      </c>
      <c r="C23" s="40">
        <f t="shared" si="1"/>
        <v>-78.018125103721246</v>
      </c>
      <c r="D23" s="42">
        <f>IF(B23&gt;0,Insolation!$E$11*EXP(-Insolation!$E$12*I23),0)</f>
        <v>819.41467747467846</v>
      </c>
      <c r="E23" s="42"/>
      <c r="G23" s="40">
        <f t="shared" si="3"/>
        <v>-3</v>
      </c>
      <c r="H23" s="40">
        <f t="shared" si="2"/>
        <v>-45</v>
      </c>
      <c r="I23" s="41">
        <f t="shared" si="4"/>
        <v>1.3499269986241178</v>
      </c>
    </row>
    <row r="24" spans="1:9" x14ac:dyDescent="0.15">
      <c r="A24">
        <v>15.5</v>
      </c>
      <c r="B24" s="40">
        <f t="shared" si="0"/>
        <v>42.126559294713232</v>
      </c>
      <c r="C24" s="40">
        <f t="shared" si="1"/>
        <v>-83.752504032486954</v>
      </c>
      <c r="D24" s="42">
        <f>IF(B24&gt;0,Insolation!$E$11*EXP(-Insolation!$E$12*I24),0)</f>
        <v>795.64515908117096</v>
      </c>
      <c r="E24" s="42"/>
      <c r="G24" s="40">
        <f t="shared" si="3"/>
        <v>-3.5</v>
      </c>
      <c r="H24" s="40">
        <f t="shared" si="2"/>
        <v>-52.5</v>
      </c>
      <c r="I24" s="41">
        <f t="shared" si="4"/>
        <v>1.4908228944817985</v>
      </c>
    </row>
    <row r="25" spans="1:9" x14ac:dyDescent="0.15">
      <c r="A25">
        <v>16</v>
      </c>
      <c r="B25" s="40">
        <f t="shared" si="0"/>
        <v>36.394751762200009</v>
      </c>
      <c r="C25" s="40">
        <f t="shared" si="1"/>
        <v>-88.879352942611533</v>
      </c>
      <c r="D25" s="42">
        <f>IF(B25&gt;0,Insolation!$E$11*EXP(-Insolation!$E$12*I25),0)</f>
        <v>763.95531634958468</v>
      </c>
      <c r="E25" s="42"/>
      <c r="G25" s="40">
        <f t="shared" si="3"/>
        <v>-4</v>
      </c>
      <c r="H25" s="40">
        <f t="shared" si="2"/>
        <v>-60</v>
      </c>
      <c r="I25" s="41">
        <f t="shared" si="4"/>
        <v>1.6853596744439299</v>
      </c>
    </row>
    <row r="26" spans="1:9" x14ac:dyDescent="0.15">
      <c r="A26">
        <v>16.5</v>
      </c>
      <c r="B26" s="40">
        <f t="shared" si="0"/>
        <v>30.652478432782889</v>
      </c>
      <c r="C26" s="40">
        <f t="shared" si="1"/>
        <v>-93.621207565703799</v>
      </c>
      <c r="D26" s="42">
        <f>IF(B26&gt;0,Insolation!$E$11*EXP(-Insolation!$E$12*I26),0)</f>
        <v>721.13667917955854</v>
      </c>
      <c r="E26" s="42"/>
      <c r="G26" s="40">
        <f t="shared" si="3"/>
        <v>-4.5</v>
      </c>
      <c r="H26" s="40">
        <f t="shared" si="2"/>
        <v>-67.5</v>
      </c>
      <c r="I26" s="41">
        <f t="shared" si="4"/>
        <v>1.9614397646091866</v>
      </c>
    </row>
    <row r="27" spans="1:9" x14ac:dyDescent="0.15">
      <c r="A27">
        <v>17</v>
      </c>
      <c r="B27" s="40">
        <f t="shared" si="0"/>
        <v>24.938974353617681</v>
      </c>
      <c r="C27" s="40">
        <f t="shared" si="1"/>
        <v>-98.13579855674169</v>
      </c>
      <c r="D27" s="42">
        <f>IF(B27&gt;0,Insolation!$E$11*EXP(-Insolation!$E$12*I27),0)</f>
        <v>661.91088166891188</v>
      </c>
      <c r="E27" s="42"/>
      <c r="G27" s="40">
        <f t="shared" si="3"/>
        <v>-5</v>
      </c>
      <c r="H27" s="40">
        <f t="shared" si="2"/>
        <v>-75</v>
      </c>
      <c r="I27" s="41">
        <f t="shared" si="4"/>
        <v>2.3716199706462486</v>
      </c>
    </row>
    <row r="28" spans="1:9" x14ac:dyDescent="0.15">
      <c r="A28">
        <v>17.5</v>
      </c>
      <c r="B28" s="40">
        <f t="shared" si="0"/>
        <v>19.288400265904052</v>
      </c>
      <c r="C28" s="40">
        <f t="shared" si="1"/>
        <v>-102.54154881848103</v>
      </c>
      <c r="D28" s="42">
        <f>IF(B28&gt;0,Insolation!$E$11*EXP(-Insolation!$E$12*I28),0)</f>
        <v>577.16827150589779</v>
      </c>
      <c r="E28" s="42"/>
      <c r="G28" s="40">
        <f t="shared" si="3"/>
        <v>-5.5</v>
      </c>
      <c r="H28" s="40">
        <f t="shared" si="2"/>
        <v>-82.5</v>
      </c>
      <c r="I28" s="41">
        <f t="shared" si="4"/>
        <v>3.0273370648305207</v>
      </c>
    </row>
    <row r="29" spans="1:9" x14ac:dyDescent="0.15">
      <c r="A29">
        <v>18</v>
      </c>
      <c r="B29" s="40">
        <f t="shared" si="0"/>
        <v>13.733374622678625</v>
      </c>
      <c r="C29" s="40">
        <f t="shared" si="1"/>
        <v>-106.93303174869351</v>
      </c>
      <c r="D29" s="42">
        <f>IF(B29&gt;0,Insolation!$E$11*EXP(-Insolation!$E$12*I29),0)</f>
        <v>450.59906074971565</v>
      </c>
      <c r="E29" s="42"/>
      <c r="G29" s="40">
        <f t="shared" si="3"/>
        <v>-6</v>
      </c>
      <c r="H29" s="40">
        <f t="shared" si="2"/>
        <v>-90</v>
      </c>
      <c r="I29" s="41">
        <f t="shared" si="4"/>
        <v>4.212228404530479</v>
      </c>
    </row>
    <row r="30" spans="1:9" x14ac:dyDescent="0.15">
      <c r="A30">
        <v>18.5</v>
      </c>
      <c r="B30" s="40">
        <f t="shared" si="0"/>
        <v>8.3074433839540767</v>
      </c>
      <c r="C30" s="40">
        <f t="shared" si="1"/>
        <v>-111.39051599924704</v>
      </c>
      <c r="D30" s="42">
        <f>IF(B30&gt;0,Insolation!$E$11*EXP(-Insolation!$E$12*I30),0)</f>
        <v>255.85521607712755</v>
      </c>
      <c r="E30" s="42"/>
      <c r="G30" s="40">
        <f t="shared" si="3"/>
        <v>-6.5</v>
      </c>
      <c r="H30" s="40">
        <f t="shared" si="2"/>
        <v>-97.5</v>
      </c>
      <c r="I30" s="41">
        <f t="shared" si="4"/>
        <v>6.9211456275942176</v>
      </c>
    </row>
    <row r="31" spans="1:9" x14ac:dyDescent="0.15">
      <c r="A31">
        <v>19</v>
      </c>
      <c r="B31" s="40">
        <f t="shared" si="0"/>
        <v>3.0470129919582356</v>
      </c>
      <c r="C31" s="40">
        <f t="shared" si="1"/>
        <v>-115.98587406696336</v>
      </c>
      <c r="D31" s="42">
        <f>IF(B31&gt;0,Insolation!$E$11*EXP(-Insolation!$E$12*I31),0)</f>
        <v>21.330251603928545</v>
      </c>
      <c r="E31" s="42"/>
      <c r="G31" s="40">
        <f t="shared" si="3"/>
        <v>-7</v>
      </c>
      <c r="H31" s="40">
        <f t="shared" si="2"/>
        <v>-105</v>
      </c>
      <c r="I31" s="41">
        <f t="shared" si="4"/>
        <v>18.812783364413043</v>
      </c>
    </row>
    <row r="32" spans="1:9" x14ac:dyDescent="0.15">
      <c r="A32">
        <v>19.5</v>
      </c>
      <c r="B32" s="40">
        <f t="shared" si="0"/>
        <v>-2.0069953232628306</v>
      </c>
      <c r="C32" s="40">
        <f t="shared" si="1"/>
        <v>-120.78601954335207</v>
      </c>
      <c r="D32" s="42">
        <f>IF(B32&gt;0,Insolation!$E$11*EXP(-Insolation!$E$12*I32),0)</f>
        <v>0</v>
      </c>
      <c r="E32" s="42"/>
      <c r="G32" s="40">
        <f t="shared" si="3"/>
        <v>-7.5</v>
      </c>
      <c r="H32" s="40">
        <f t="shared" si="2"/>
        <v>-112.5</v>
      </c>
      <c r="I32" s="41">
        <f t="shared" si="4"/>
        <v>28.553877326637458</v>
      </c>
    </row>
    <row r="33" spans="1:4" ht="14" thickBot="1" x14ac:dyDescent="0.2"/>
    <row r="34" spans="1:4" ht="14" thickBot="1" x14ac:dyDescent="0.2">
      <c r="A34" s="43">
        <f>Time!H13</f>
        <v>13.566666666666666</v>
      </c>
      <c r="B34" s="44">
        <f>Angles!F18</f>
        <v>70.698663891487485</v>
      </c>
      <c r="C34" s="44">
        <f>Angles!F19</f>
        <v>-20.400991371392141</v>
      </c>
      <c r="D34" s="45">
        <f>Insolation!E27</f>
        <v>870.66478929403252</v>
      </c>
    </row>
  </sheetData>
  <conditionalFormatting sqref="A2:A32">
    <cfRule type="cellIs" dxfId="0" priority="6" operator="equal">
      <formula>$A$34</formula>
    </cfRule>
  </conditionalFormatting>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DW127"/>
  <sheetViews>
    <sheetView workbookViewId="0">
      <selection activeCell="J18" sqref="J18"/>
    </sheetView>
  </sheetViews>
  <sheetFormatPr baseColWidth="10" defaultColWidth="8.83203125" defaultRowHeight="13" x14ac:dyDescent="0.15"/>
  <cols>
    <col min="1" max="1" width="10" bestFit="1" customWidth="1"/>
    <col min="2" max="2" width="12.5" bestFit="1" customWidth="1"/>
    <col min="3" max="3" width="11.5" bestFit="1" customWidth="1"/>
    <col min="4" max="4" width="9" bestFit="1" customWidth="1"/>
    <col min="5" max="5" width="10" bestFit="1" customWidth="1"/>
    <col min="6" max="6" width="9.33203125" bestFit="1" customWidth="1"/>
    <col min="7" max="7" width="7.33203125" bestFit="1" customWidth="1"/>
    <col min="8" max="8" width="8.1640625" customWidth="1"/>
    <col min="9" max="9" width="11" bestFit="1" customWidth="1"/>
    <col min="10" max="10" width="9.6640625" bestFit="1" customWidth="1"/>
    <col min="11" max="13" width="10.33203125" bestFit="1" customWidth="1"/>
    <col min="14" max="15" width="7.5" bestFit="1" customWidth="1"/>
    <col min="16" max="20" width="6.5" bestFit="1" customWidth="1"/>
    <col min="21" max="21" width="8.6640625" bestFit="1" customWidth="1"/>
    <col min="22" max="22" width="6.5" bestFit="1" customWidth="1"/>
    <col min="23" max="23" width="7.1640625" bestFit="1" customWidth="1"/>
    <col min="24" max="24" width="11.5" bestFit="1" customWidth="1"/>
    <col min="25" max="25" width="6.5" bestFit="1" customWidth="1"/>
    <col min="26" max="26" width="7.33203125" bestFit="1" customWidth="1"/>
    <col min="27" max="27" width="8.6640625" bestFit="1" customWidth="1"/>
    <col min="28" max="28" width="7.83203125" bestFit="1" customWidth="1"/>
    <col min="29" max="29" width="6.5" bestFit="1" customWidth="1"/>
    <col min="30" max="30" width="8.6640625" bestFit="1" customWidth="1"/>
    <col min="31" max="31" width="7.1640625" bestFit="1" customWidth="1"/>
    <col min="32" max="33" width="6.5" bestFit="1" customWidth="1"/>
    <col min="34" max="34" width="8" bestFit="1" customWidth="1"/>
    <col min="35" max="35" width="7.5" bestFit="1" customWidth="1"/>
    <col min="36" max="43" width="6.5" bestFit="1" customWidth="1"/>
    <col min="45" max="45" width="12.33203125" bestFit="1" customWidth="1"/>
    <col min="46" max="46" width="5" bestFit="1" customWidth="1"/>
    <col min="47" max="48" width="7.33203125" bestFit="1" customWidth="1"/>
    <col min="49" max="49" width="7.83203125" bestFit="1" customWidth="1"/>
    <col min="50" max="50" width="6.1640625" bestFit="1" customWidth="1"/>
    <col min="51" max="51" width="6.5" bestFit="1" customWidth="1"/>
    <col min="52" max="52" width="7.1640625" bestFit="1" customWidth="1"/>
    <col min="53" max="54" width="6.5" bestFit="1" customWidth="1"/>
    <col min="55" max="55" width="8" bestFit="1" customWidth="1"/>
    <col min="56" max="56" width="7.5" bestFit="1" customWidth="1"/>
    <col min="57" max="64" width="6.5" bestFit="1" customWidth="1"/>
    <col min="66" max="66" width="11.5" bestFit="1" customWidth="1"/>
    <col min="67" max="67" width="5" bestFit="1" customWidth="1"/>
    <col min="68" max="69" width="7.33203125" bestFit="1" customWidth="1"/>
    <col min="70" max="70" width="7.83203125" bestFit="1" customWidth="1"/>
    <col min="71" max="71" width="6.1640625" bestFit="1" customWidth="1"/>
    <col min="72" max="72" width="6.5" bestFit="1" customWidth="1"/>
    <col min="73" max="73" width="7.1640625" bestFit="1" customWidth="1"/>
    <col min="74" max="74" width="5.5" bestFit="1" customWidth="1"/>
    <col min="75" max="75" width="6.5" bestFit="1" customWidth="1"/>
    <col min="76" max="76" width="8" bestFit="1" customWidth="1"/>
    <col min="77" max="77" width="7.5" bestFit="1" customWidth="1"/>
    <col min="78" max="85" width="6.5" bestFit="1" customWidth="1"/>
    <col min="87" max="87" width="11.5" bestFit="1" customWidth="1"/>
    <col min="88" max="88" width="5" bestFit="1" customWidth="1"/>
    <col min="89" max="90" width="7.33203125" bestFit="1" customWidth="1"/>
    <col min="91" max="91" width="7.83203125" bestFit="1" customWidth="1"/>
    <col min="92" max="92" width="6.1640625" bestFit="1" customWidth="1"/>
    <col min="93" max="93" width="6.5" bestFit="1" customWidth="1"/>
    <col min="94" max="94" width="7.1640625" bestFit="1" customWidth="1"/>
    <col min="95" max="95" width="5.5" bestFit="1" customWidth="1"/>
    <col min="96" max="96" width="6.5" bestFit="1" customWidth="1"/>
    <col min="97" max="97" width="8" bestFit="1" customWidth="1"/>
    <col min="98" max="98" width="7.5" bestFit="1" customWidth="1"/>
    <col min="99" max="106" width="6.5" bestFit="1" customWidth="1"/>
    <col min="108" max="108" width="11.5" bestFit="1" customWidth="1"/>
  </cols>
  <sheetData>
    <row r="1" spans="1:30" x14ac:dyDescent="0.15">
      <c r="A1" s="157" t="str">
        <f>Graph!A1</f>
        <v xml:space="preserve"> Time</v>
      </c>
      <c r="B1" s="48" t="str">
        <f>Graph!D1</f>
        <v>Insolation</v>
      </c>
      <c r="C1" s="159"/>
      <c r="D1" s="160"/>
      <c r="E1" s="163" t="s">
        <v>143</v>
      </c>
      <c r="F1" s="163" t="s">
        <v>144</v>
      </c>
      <c r="G1" s="36" t="s">
        <v>145</v>
      </c>
      <c r="H1" s="36"/>
      <c r="O1" s="340" t="s">
        <v>161</v>
      </c>
      <c r="P1" s="341"/>
      <c r="Q1" s="341"/>
      <c r="R1" s="341"/>
      <c r="S1" s="342" t="s">
        <v>152</v>
      </c>
      <c r="T1" s="342"/>
      <c r="U1" s="342"/>
      <c r="V1" s="342" t="s">
        <v>153</v>
      </c>
      <c r="W1" s="342"/>
      <c r="X1" s="342"/>
      <c r="Y1" s="342" t="s">
        <v>154</v>
      </c>
      <c r="Z1" s="342"/>
      <c r="AA1" s="342"/>
      <c r="AB1" s="342" t="s">
        <v>155</v>
      </c>
      <c r="AC1" s="342"/>
      <c r="AD1" s="342"/>
    </row>
    <row r="2" spans="1:30" x14ac:dyDescent="0.15">
      <c r="A2" s="157">
        <f>Graph!A2</f>
        <v>4.5</v>
      </c>
      <c r="B2" s="40">
        <f>Graph!D2</f>
        <v>0</v>
      </c>
      <c r="C2" s="204">
        <f t="shared" ref="C2:C32" si="0">(B3+B2)/2*(A3-A2)</f>
        <v>5.3325629009821363</v>
      </c>
      <c r="D2" s="161"/>
      <c r="E2" s="162">
        <f t="shared" ref="E2:E32" si="1">((B3+B2)/2)*(A3-A2)</f>
        <v>5.3325629009821363</v>
      </c>
      <c r="F2" s="162"/>
      <c r="G2" s="38">
        <f>IF(B2&gt;0,((-5.63*(A3)^3)+(222.165*(A3)^2)-(1989.2*(A3)))-((-5.63*(A2)^3)+(222.165*(A2)^2)-(1989.2*(A2))),0)</f>
        <v>0</v>
      </c>
      <c r="H2" s="38"/>
      <c r="I2" s="185" t="s">
        <v>82</v>
      </c>
      <c r="J2" s="39" t="s">
        <v>156</v>
      </c>
      <c r="K2" s="39" t="s">
        <v>157</v>
      </c>
      <c r="L2" s="39" t="s">
        <v>159</v>
      </c>
      <c r="M2" s="39" t="s">
        <v>158</v>
      </c>
      <c r="N2" s="39" t="s">
        <v>160</v>
      </c>
      <c r="O2" s="36" t="s">
        <v>152</v>
      </c>
      <c r="P2" s="36" t="s">
        <v>153</v>
      </c>
      <c r="Q2" s="36" t="s">
        <v>154</v>
      </c>
      <c r="R2" s="36" t="s">
        <v>155</v>
      </c>
      <c r="S2" s="36" t="s">
        <v>150</v>
      </c>
      <c r="T2" s="36" t="s">
        <v>188</v>
      </c>
      <c r="U2" s="36" t="s">
        <v>151</v>
      </c>
      <c r="V2" s="36" t="s">
        <v>150</v>
      </c>
      <c r="W2" s="36" t="s">
        <v>188</v>
      </c>
      <c r="X2" s="36" t="s">
        <v>151</v>
      </c>
      <c r="Y2" s="36" t="s">
        <v>150</v>
      </c>
      <c r="Z2" s="36" t="s">
        <v>188</v>
      </c>
      <c r="AA2" s="36" t="s">
        <v>151</v>
      </c>
      <c r="AB2" s="36" t="s">
        <v>150</v>
      </c>
      <c r="AC2" s="36" t="s">
        <v>188</v>
      </c>
      <c r="AD2" s="36" t="s">
        <v>151</v>
      </c>
    </row>
    <row r="3" spans="1:30" x14ac:dyDescent="0.15">
      <c r="A3" s="157">
        <f>Graph!A3</f>
        <v>5</v>
      </c>
      <c r="B3" s="40">
        <f>Graph!D3</f>
        <v>21.330251603928545</v>
      </c>
      <c r="C3" s="204">
        <f t="shared" si="0"/>
        <v>69.29636692026402</v>
      </c>
      <c r="D3" s="161"/>
      <c r="E3" s="162">
        <f t="shared" si="1"/>
        <v>69.29636692026402</v>
      </c>
      <c r="F3" s="162">
        <f t="shared" ref="F3:F32" si="2">B3+4*B4+B5</f>
        <v>1495.3501766621544</v>
      </c>
      <c r="G3" s="38">
        <f t="shared" ref="G3:G32" si="3">IF(B3&gt;0,((-5.63*(A4)^3)+(222.165*(A4)^2)-(1989.2*(A4)))-((-5.63*(A3)^3)+(222.165*(A3)^2)-(1989.2*(A3))),0)</f>
        <v>-61.175000000000182</v>
      </c>
      <c r="H3" s="38"/>
      <c r="I3" s="157">
        <v>5.5</v>
      </c>
      <c r="J3" s="40">
        <f>Graph!B2</f>
        <v>-2.0069953232628306</v>
      </c>
      <c r="K3" s="40">
        <f>IF(COS(RADIANS(Graph!H2))&gt;=((TAN(RADIANS(Angles!$F$10)))/(TAN(RADIANS(Time!$P$4)))),L3,IF(A2&lt;12,M3,N3))</f>
        <v>120.78601954335207</v>
      </c>
      <c r="L3" s="40">
        <f>DEGREES(ASIN(COS(RADIANS(Angles!$F$10))*SIN(RADIANS(Graph!H2))/COS(RADIANS(J3))))</f>
        <v>59.213980456647938</v>
      </c>
      <c r="M3" s="40">
        <f>180-L3</f>
        <v>120.78601954335207</v>
      </c>
      <c r="N3" s="42">
        <f>180-L3-360</f>
        <v>-239.21398045664793</v>
      </c>
      <c r="O3" s="178">
        <f>COS(RADIANS(J3))*COS(RADIANS(K3-Insolation!$L$6))*SIN(RADIANS(0))+(SIN(RADIANS(J3))*COS(RADIANS(0)))</f>
        <v>-3.5021513490467927E-2</v>
      </c>
      <c r="P3" s="178">
        <f>COS(RADIANS(J3))*COS(RADIANS(K3-K3))*SIN(RADIANS(Insolation!$L$7))+SIN(RADIANS(J3))*COS(RADIANS(Insolation!$L$7))</f>
        <v>0.53579138388151248</v>
      </c>
      <c r="Q3" s="179">
        <f>COS(RADIANS(J3))*COS(RADIANS(K3-K3))*SIN(RADIANS(Insolation!$L$7))+SIN(RADIANS(J3))*COS(RADIANS(Insolation!$L$7))</f>
        <v>0.53579138388151248</v>
      </c>
      <c r="R3" s="181">
        <f>COS(RADIANS(J3))*COS(RADIANS(K3-K3))*SIN(RADIANS(90-J3))+SIN(RADIANS(J3))*COS(RADIANS(90-J3))</f>
        <v>1</v>
      </c>
      <c r="S3" s="40">
        <f>B2*O3</f>
        <v>0</v>
      </c>
      <c r="T3" s="40">
        <f>B2*Insolation!$E$13</f>
        <v>0</v>
      </c>
      <c r="U3" s="40">
        <f>Insolation!$L$8*B2*(SIN(RADIANS(J3))+Insolation!$E$13)*((1-COS(RADIANS(0)))/2)</f>
        <v>0</v>
      </c>
      <c r="V3" s="40">
        <f>B2*P3</f>
        <v>0</v>
      </c>
      <c r="W3" s="42">
        <f>Insolation!$E$13*PSH!B2*((1+COS(RADIANS(Insolation!$L$7)))/2)</f>
        <v>0</v>
      </c>
      <c r="X3" s="40">
        <f>Insolation!$L$8*B2*((SIN(RADIANS(J3)))+Insolation!$E$13)*((1-COS(RADIANS(Insolation!$L$7)))/2)</f>
        <v>0</v>
      </c>
      <c r="Y3" s="40">
        <f>B2*(COS(RADIANS(Angles!$F$10)))</f>
        <v>0</v>
      </c>
      <c r="Z3" s="40">
        <f>Insolation!$E$13*PSH!B2*((1+COS(RADIANS(90-J3+Angles!$F$10)))/2)</f>
        <v>0</v>
      </c>
      <c r="AA3" s="40">
        <f>Insolation!$L$8*((B2*SIN(RADIANS(J3)))+(Insolation!$E$13*B2))*((1-COS(RADIANS(Insolation!$L$7)))/2)</f>
        <v>0</v>
      </c>
      <c r="AB3" s="40">
        <f t="shared" ref="AB3:AB33" si="4">B2</f>
        <v>0</v>
      </c>
      <c r="AC3" s="40">
        <f>Insolation!$E$13*B2*((1+COS(RADIANS(90-J3)))/2)</f>
        <v>0</v>
      </c>
      <c r="AD3" s="40">
        <f>Insolation!$L$8*((PSH!B2*SIN(RADIANS(PSH!J3)))+(Insolation!$E$13*PSH!B2))*((1-COS(RADIANS(90-PSH!J3)))/2)</f>
        <v>0</v>
      </c>
    </row>
    <row r="4" spans="1:30" x14ac:dyDescent="0.15">
      <c r="A4" s="157">
        <f>Graph!A4</f>
        <v>5.5</v>
      </c>
      <c r="B4" s="40">
        <f>Graph!D4</f>
        <v>255.85521607712755</v>
      </c>
      <c r="C4" s="204">
        <f>(B5+B4)/2*(A5-A4)</f>
        <v>176.61356920671079</v>
      </c>
      <c r="D4" s="161"/>
      <c r="E4" s="165">
        <f t="shared" si="1"/>
        <v>176.61356920671079</v>
      </c>
      <c r="F4" s="162"/>
      <c r="G4" s="38">
        <f t="shared" si="3"/>
        <v>3.4599999999991269</v>
      </c>
      <c r="H4" s="38"/>
      <c r="I4" s="157">
        <v>6</v>
      </c>
      <c r="J4" s="40">
        <f>Graph!B3</f>
        <v>3.0470129919582356</v>
      </c>
      <c r="K4" s="40">
        <f>IF(COS(RADIANS(Graph!H3))&gt;=((TAN(RADIANS(Angles!$F$10)))/(TAN(RADIANS(Time!$P$4)))),L4,IF(A3&lt;12,M4,N4))</f>
        <v>115.98587406696335</v>
      </c>
      <c r="L4" s="40">
        <f>DEGREES(ASIN(COS(RADIANS(Angles!$F$10))*SIN(RADIANS(Graph!H3))/COS(RADIANS(J4))))</f>
        <v>64.014125933036652</v>
      </c>
      <c r="M4" s="40">
        <f t="shared" ref="M4:M33" si="5">180-L4</f>
        <v>115.98587406696335</v>
      </c>
      <c r="N4" s="42">
        <f t="shared" ref="N4:N33" si="6">180-L4-360</f>
        <v>-244.01412593303667</v>
      </c>
      <c r="O4" s="178">
        <f>COS(RADIANS(J4))*COS(RADIANS(K4-Insolation!$L$6))*SIN(RADIANS(0))+(SIN(RADIANS(J4))*COS(RADIANS(0)))</f>
        <v>5.3155345523812125E-2</v>
      </c>
      <c r="P4" s="178">
        <f>COS(RADIANS(J4))*COS(RADIANS(K4-K4))*SIN(RADIANS(Insolation!$L$7))+SIN(RADIANS(J4))*COS(RADIANS(Insolation!$L$7))</f>
        <v>0.60809110940707145</v>
      </c>
      <c r="Q4" s="179">
        <f>COS(RADIANS(J4))*COS(RADIANS(K4-K4))*SIN(RADIANS(Insolation!$L$7))+SIN(RADIANS(J4))*COS(RADIANS(Insolation!$L$7))</f>
        <v>0.60809110940707145</v>
      </c>
      <c r="R4" s="181">
        <f t="shared" ref="R4:R33" si="7">COS(RADIANS(J4))*COS(RADIANS(K4-K4))*SIN(RADIANS(90-J4))+SIN(RADIANS(J4))*COS(RADIANS(90-J4))</f>
        <v>1</v>
      </c>
      <c r="S4" s="40">
        <f t="shared" ref="S4:S33" si="8">B3*O4</f>
        <v>1.1338168941166695</v>
      </c>
      <c r="T4" s="40">
        <f>B3*Insolation!$E$13</f>
        <v>2.8778068672186858</v>
      </c>
      <c r="U4" s="40">
        <f>Insolation!$L$8*B3*(SIN(RADIANS(J4))+Insolation!$E$13)*((1-COS(RADIANS(0)))/2)</f>
        <v>0</v>
      </c>
      <c r="V4" s="40">
        <f t="shared" ref="V4:V25" si="9">B3*P4</f>
        <v>12.970736361764875</v>
      </c>
      <c r="W4" s="42">
        <f>Insolation!$E$13*PSH!B3*((1+COS(RADIANS(Insolation!$L$7)))/2)</f>
        <v>2.626096917383177</v>
      </c>
      <c r="X4" s="40">
        <f>Insolation!$L$8*B3*((SIN(RADIANS(J4)))+Insolation!$E$13)*((1-COS(RADIANS(Insolation!$L$7)))/2)</f>
        <v>7.0176051577815937E-2</v>
      </c>
      <c r="Y4" s="40">
        <f>B3*(COS(RADIANS(Angles!$F$10)))</f>
        <v>19.822123501450111</v>
      </c>
      <c r="Z4" s="40">
        <f>Insolation!$E$13*PSH!B3*((1+COS(RADIANS(90-J4+Angles!$F$10)))/2)</f>
        <v>0.97929480394274693</v>
      </c>
      <c r="AA4" s="40">
        <f>Insolation!$L$8*((B3*SIN(RADIANS(J4)))+(Insolation!$E$13*B3))*((1-COS(RADIANS(Insolation!$L$7)))/2)</f>
        <v>7.0176051577815951E-2</v>
      </c>
      <c r="AB4" s="40">
        <f t="shared" si="4"/>
        <v>21.330251603928545</v>
      </c>
      <c r="AC4" s="40">
        <f>Insolation!$E$13*B3*((1+COS(RADIANS(90-J4)))/2)</f>
        <v>1.5153888427982474</v>
      </c>
      <c r="AD4" s="40">
        <f>Insolation!$L$8*((PSH!B3*SIN(RADIANS(PSH!J4)))+(Insolation!$E$13*PSH!B3))*((1-COS(RADIANS(90-PSH!J4)))/2)</f>
        <v>0.37983845141900396</v>
      </c>
    </row>
    <row r="5" spans="1:30" x14ac:dyDescent="0.15">
      <c r="A5" s="157">
        <f>Graph!A5</f>
        <v>6</v>
      </c>
      <c r="B5" s="40">
        <f>Graph!D5</f>
        <v>450.59906074971565</v>
      </c>
      <c r="C5" s="204">
        <f t="shared" si="0"/>
        <v>256.94183306390335</v>
      </c>
      <c r="D5" s="161"/>
      <c r="E5" s="165">
        <f t="shared" si="1"/>
        <v>256.94183306390335</v>
      </c>
      <c r="F5" s="165">
        <f t="shared" si="2"/>
        <v>3421.1830284422185</v>
      </c>
      <c r="G5" s="38">
        <f t="shared" si="3"/>
        <v>63.8725000000004</v>
      </c>
      <c r="H5" s="38"/>
      <c r="I5" s="157">
        <v>6.5</v>
      </c>
      <c r="J5" s="40">
        <f>Graph!B4</f>
        <v>8.3074433839540767</v>
      </c>
      <c r="K5" s="40">
        <f>IF(COS(RADIANS(Graph!H4))&gt;=((TAN(RADIANS(Angles!$F$10)))/(TAN(RADIANS(Time!$P$4)))),L5,IF(A4&lt;12,M5,N5))</f>
        <v>111.39051599924704</v>
      </c>
      <c r="L5" s="40">
        <f>DEGREES(ASIN(COS(RADIANS(Angles!$F$10))*SIN(RADIANS(Graph!H4))/COS(RADIANS(J5))))</f>
        <v>68.609484000752957</v>
      </c>
      <c r="M5" s="40">
        <f t="shared" si="5"/>
        <v>111.39051599924704</v>
      </c>
      <c r="N5" s="42">
        <f t="shared" si="6"/>
        <v>-248.60948400075296</v>
      </c>
      <c r="O5" s="178">
        <f>COS(RADIANS(J5))*COS(RADIANS(K5-Insolation!$L$6))*SIN(RADIANS(0))+(SIN(RADIANS(J5))*COS(RADIANS(0)))</f>
        <v>0.14448475061889413</v>
      </c>
      <c r="P5" s="178">
        <f>COS(RADIANS(J5))*COS(RADIANS(K5-K5))*SIN(RADIANS(Insolation!$L$7))+SIN(RADIANS(J5))*COS(RADIANS(Insolation!$L$7))</f>
        <v>0.67831403367869181</v>
      </c>
      <c r="Q5" s="179">
        <f>COS(RADIANS(J5))*COS(RADIANS(K5-K5))*SIN(RADIANS(Insolation!$L$7))+SIN(RADIANS(J5))*COS(RADIANS(Insolation!$L$7))</f>
        <v>0.67831403367869181</v>
      </c>
      <c r="R5" s="181">
        <f t="shared" si="7"/>
        <v>0.99999999999999989</v>
      </c>
      <c r="S5" s="40">
        <f t="shared" si="8"/>
        <v>36.967177089447048</v>
      </c>
      <c r="T5" s="40">
        <f>B4*Insolation!$E$13</f>
        <v>34.519137960138657</v>
      </c>
      <c r="U5" s="40">
        <f>Insolation!$L$8*B4*(SIN(RADIANS(J5))+Insolation!$E$13)*((1-COS(RADIANS(0)))/2)</f>
        <v>0</v>
      </c>
      <c r="V5" s="40">
        <f t="shared" si="9"/>
        <v>173.55018365500968</v>
      </c>
      <c r="W5" s="42">
        <f>Insolation!$E$13*PSH!B4*((1+COS(RADIANS(Insolation!$L$7)))/2)</f>
        <v>31.499890705124294</v>
      </c>
      <c r="X5" s="40">
        <f>Insolation!$L$8*B4*((SIN(RADIANS(J5)))+Insolation!$E$13)*((1-COS(RADIANS(Insolation!$L$7)))/2)</f>
        <v>1.2505228881079899</v>
      </c>
      <c r="Y5" s="40">
        <f>B4*(COS(RADIANS(Angles!$F$10)))</f>
        <v>237.76530093236005</v>
      </c>
      <c r="Z5" s="40">
        <f>Insolation!$E$13*PSH!B4*((1+COS(RADIANS(90-J5+Angles!$F$10)))/2)</f>
        <v>13.269319875014526</v>
      </c>
      <c r="AA5" s="40">
        <f>Insolation!$L$8*((B4*SIN(RADIANS(J5)))+(Insolation!$E$13*B4))*((1-COS(RADIANS(Insolation!$L$7)))/2)</f>
        <v>1.2505228881079897</v>
      </c>
      <c r="AB5" s="40">
        <f t="shared" si="4"/>
        <v>255.85521607712755</v>
      </c>
      <c r="AC5" s="40">
        <f>Insolation!$E$13*B4*((1+COS(RADIANS(90-J5)))/2)</f>
        <v>19.753313499944248</v>
      </c>
      <c r="AD5" s="40">
        <f>Insolation!$L$8*((PSH!B4*SIN(RADIANS(PSH!J5)))+(Insolation!$E$13*PSH!B4))*((1-COS(RADIANS(90-PSH!J5)))/2)</f>
        <v>6.1157632646982609</v>
      </c>
    </row>
    <row r="6" spans="1:30" x14ac:dyDescent="0.15">
      <c r="A6" s="157">
        <f>Graph!A6</f>
        <v>6.5</v>
      </c>
      <c r="B6" s="40">
        <f>Graph!D6</f>
        <v>577.16827150589779</v>
      </c>
      <c r="C6" s="204">
        <f t="shared" si="0"/>
        <v>309.76978829370239</v>
      </c>
      <c r="D6" s="161"/>
      <c r="E6" s="165">
        <f t="shared" si="1"/>
        <v>309.76978829370239</v>
      </c>
      <c r="F6" s="165"/>
      <c r="G6" s="38">
        <f t="shared" si="3"/>
        <v>120.0625</v>
      </c>
      <c r="H6" s="38"/>
      <c r="I6" s="157">
        <v>7</v>
      </c>
      <c r="J6" s="40">
        <f>Graph!B5</f>
        <v>13.733374622678625</v>
      </c>
      <c r="K6" s="40">
        <f>IF(COS(RADIANS(Graph!H5))&gt;=((TAN(RADIANS(Angles!$F$10)))/(TAN(RADIANS(Time!$P$4)))),L6,IF(A5&lt;12,M6,N6))</f>
        <v>106.93303174869352</v>
      </c>
      <c r="L6" s="40">
        <f>DEGREES(ASIN(COS(RADIANS(Angles!$F$10))*SIN(RADIANS(Graph!H5))/COS(RADIANS(J6))))</f>
        <v>73.066968251306477</v>
      </c>
      <c r="M6" s="40">
        <f t="shared" si="5"/>
        <v>106.93303174869352</v>
      </c>
      <c r="N6" s="42">
        <f t="shared" si="6"/>
        <v>-253.06696825130649</v>
      </c>
      <c r="O6" s="178">
        <f>COS(RADIANS(J6))*COS(RADIANS(K6-Insolation!$L$6))*SIN(RADIANS(0))+(SIN(RADIANS(J6))*COS(RADIANS(0)))</f>
        <v>0.23740403035230614</v>
      </c>
      <c r="P6" s="178">
        <f>COS(RADIANS(J6))*COS(RADIANS(K6-K6))*SIN(RADIANS(Insolation!$L$7))+SIN(RADIANS(J6))*COS(RADIANS(Insolation!$L$7))</f>
        <v>0.74475392139371444</v>
      </c>
      <c r="Q6" s="179">
        <f>COS(RADIANS(J6))*COS(RADIANS(K6-K6))*SIN(RADIANS(Insolation!$L$7))+SIN(RADIANS(J6))*COS(RADIANS(Insolation!$L$7))</f>
        <v>0.74475392139371444</v>
      </c>
      <c r="R6" s="181">
        <f t="shared" si="7"/>
        <v>1</v>
      </c>
      <c r="S6" s="40">
        <f t="shared" si="8"/>
        <v>106.97403309494614</v>
      </c>
      <c r="T6" s="40">
        <f>B5*Insolation!$E$13</f>
        <v>60.793332186901729</v>
      </c>
      <c r="U6" s="40">
        <f>Insolation!$L$8*B5*(SIN(RADIANS(J6))+Insolation!$E$13)*((1-COS(RADIANS(0)))/2)</f>
        <v>0</v>
      </c>
      <c r="V6" s="40">
        <f t="shared" si="9"/>
        <v>335.58541746967529</v>
      </c>
      <c r="W6" s="42">
        <f>Insolation!$E$13*PSH!B5*((1+COS(RADIANS(Insolation!$L$7)))/2)</f>
        <v>55.475989049873341</v>
      </c>
      <c r="X6" s="40">
        <f>Insolation!$L$8*B5*((SIN(RADIANS(J6)))+Insolation!$E$13)*((1-COS(RADIANS(Insolation!$L$7)))/2)</f>
        <v>2.9347845110914039</v>
      </c>
      <c r="Y6" s="40">
        <f>B5*(COS(RADIANS(Angles!$F$10)))</f>
        <v>418.7400316540685</v>
      </c>
      <c r="Z6" s="40">
        <f>Insolation!$E$13*PSH!B5*((1+COS(RADIANS(90-J6+Angles!$F$10)))/2)</f>
        <v>26.197138644837505</v>
      </c>
      <c r="AA6" s="40">
        <f>Insolation!$L$8*((B5*SIN(RADIANS(J6)))+(Insolation!$E$13*B5))*((1-COS(RADIANS(Insolation!$L$7)))/2)</f>
        <v>2.9347845110914048</v>
      </c>
      <c r="AB6" s="40">
        <f t="shared" si="4"/>
        <v>450.59906074971565</v>
      </c>
      <c r="AC6" s="40">
        <f>Insolation!$E$13*B5*((1+COS(RADIANS(90-J6)))/2)</f>
        <v>37.612957133309386</v>
      </c>
      <c r="AD6" s="40">
        <f>Insolation!$L$8*((PSH!B5*SIN(RADIANS(PSH!J6)))+(Insolation!$E$13*PSH!B5))*((1-COS(RADIANS(90-PSH!J6)))/2)</f>
        <v>12.793871660234963</v>
      </c>
    </row>
    <row r="7" spans="1:30" x14ac:dyDescent="0.15">
      <c r="A7" s="157">
        <f>Graph!A7</f>
        <v>7</v>
      </c>
      <c r="B7" s="40">
        <f>Graph!D7</f>
        <v>661.91088166891188</v>
      </c>
      <c r="C7" s="204">
        <f t="shared" si="0"/>
        <v>345.76189021211758</v>
      </c>
      <c r="D7" s="161"/>
      <c r="E7" s="165">
        <f t="shared" si="1"/>
        <v>345.76189021211758</v>
      </c>
      <c r="F7" s="165">
        <f t="shared" si="2"/>
        <v>4310.4129147367303</v>
      </c>
      <c r="G7" s="38">
        <f t="shared" si="3"/>
        <v>172.03000000000065</v>
      </c>
      <c r="H7" s="38"/>
      <c r="I7" s="157">
        <v>7.5</v>
      </c>
      <c r="J7" s="40">
        <f>Graph!B6</f>
        <v>19.288400265904052</v>
      </c>
      <c r="K7" s="40">
        <f>IF(COS(RADIANS(Graph!H6))&gt;=((TAN(RADIANS(Angles!$F$10)))/(TAN(RADIANS(Time!$P$4)))),L7,IF(A6&lt;12,M7,N7))</f>
        <v>102.54154881848109</v>
      </c>
      <c r="L7" s="40">
        <f>DEGREES(ASIN(COS(RADIANS(Angles!$F$10))*SIN(RADIANS(Graph!H6))/COS(RADIANS(J7))))</f>
        <v>77.45845118151891</v>
      </c>
      <c r="M7" s="40">
        <f t="shared" si="5"/>
        <v>102.54154881848109</v>
      </c>
      <c r="N7" s="42">
        <f t="shared" si="6"/>
        <v>-257.45845118151891</v>
      </c>
      <c r="O7" s="178">
        <f>COS(RADIANS(J7))*COS(RADIANS(K7-Insolation!$L$6))*SIN(RADIANS(0))+(SIN(RADIANS(J7))*COS(RADIANS(0)))</f>
        <v>0.33032331008571819</v>
      </c>
      <c r="P7" s="178">
        <f>COS(RADIANS(J7))*COS(RADIANS(K7-K7))*SIN(RADIANS(Insolation!$L$7))+SIN(RADIANS(J7))*COS(RADIANS(Insolation!$L$7))</f>
        <v>0.80585587209046228</v>
      </c>
      <c r="Q7" s="179">
        <f>COS(RADIANS(J7))*COS(RADIANS(K7-K7))*SIN(RADIANS(Insolation!$L$7))+SIN(RADIANS(J7))*COS(RADIANS(Insolation!$L$7))</f>
        <v>0.80585587209046228</v>
      </c>
      <c r="R7" s="181">
        <f t="shared" si="7"/>
        <v>1</v>
      </c>
      <c r="S7" s="40">
        <f t="shared" si="8"/>
        <v>190.65213392028068</v>
      </c>
      <c r="T7" s="40">
        <f>B6*Insolation!$E$13</f>
        <v>77.869630706770337</v>
      </c>
      <c r="U7" s="40">
        <f>Insolation!$L$8*B6*(SIN(RADIANS(J7))+Insolation!$E$13)*((1-COS(RADIANS(0)))/2)</f>
        <v>0</v>
      </c>
      <c r="V7" s="40">
        <f t="shared" si="9"/>
        <v>465.11444077732995</v>
      </c>
      <c r="W7" s="42">
        <f>Insolation!$E$13*PSH!B6*((1+COS(RADIANS(Insolation!$L$7)))/2)</f>
        <v>71.05869385684403</v>
      </c>
      <c r="X7" s="40">
        <f>Insolation!$L$8*B6*((SIN(RADIANS(J7)))+Insolation!$E$13)*((1-COS(RADIANS(Insolation!$L$7)))/2)</f>
        <v>4.6972992297666307</v>
      </c>
      <c r="Y7" s="40">
        <f>B6*(COS(RADIANS(Angles!$F$10)))</f>
        <v>536.36032857677492</v>
      </c>
      <c r="Z7" s="40">
        <f>Insolation!$E$13*PSH!B6*((1+COS(RADIANS(90-J7+Angles!$F$10)))/2)</f>
        <v>37.313752333718526</v>
      </c>
      <c r="AA7" s="40">
        <f>Insolation!$L$8*((B6*SIN(RADIANS(J7)))+(Insolation!$E$13*B6))*((1-COS(RADIANS(Insolation!$L$7)))/2)</f>
        <v>4.6972992297666316</v>
      </c>
      <c r="AB7" s="40">
        <f t="shared" si="4"/>
        <v>577.16827150589779</v>
      </c>
      <c r="AC7" s="40">
        <f>Insolation!$E$13*B6*((1+COS(RADIANS(90-J7)))/2)</f>
        <v>51.795892438491599</v>
      </c>
      <c r="AD7" s="40">
        <f>Insolation!$L$8*((PSH!B6*SIN(RADIANS(PSH!J7)))+(Insolation!$E$13*PSH!B6))*((1-COS(RADIANS(90-PSH!J7)))/2)</f>
        <v>17.982276650538545</v>
      </c>
    </row>
    <row r="8" spans="1:30" x14ac:dyDescent="0.15">
      <c r="A8" s="157">
        <f>Graph!A8</f>
        <v>7.5</v>
      </c>
      <c r="B8" s="40">
        <f>Graph!D8</f>
        <v>721.13667917955854</v>
      </c>
      <c r="C8" s="204">
        <f t="shared" si="0"/>
        <v>371.27299888228583</v>
      </c>
      <c r="D8" s="161"/>
      <c r="E8" s="165">
        <f t="shared" si="1"/>
        <v>371.27299888228583</v>
      </c>
      <c r="F8" s="165"/>
      <c r="G8" s="38">
        <f t="shared" si="3"/>
        <v>219.77499999999964</v>
      </c>
      <c r="H8" s="38"/>
      <c r="I8" s="157">
        <v>8</v>
      </c>
      <c r="J8" s="40">
        <f>Graph!B7</f>
        <v>24.938974353617681</v>
      </c>
      <c r="K8" s="40">
        <f>IF(COS(RADIANS(Graph!H7))&gt;=((TAN(RADIANS(Angles!$F$10)))/(TAN(RADIANS(Time!$P$4)))),L8,IF(A7&lt;12,M8,N8))</f>
        <v>98.135798556741733</v>
      </c>
      <c r="L8" s="40">
        <f>DEGREES(ASIN(COS(RADIANS(Angles!$F$10))*SIN(RADIANS(Graph!H7))/COS(RADIANS(J8))))</f>
        <v>81.864201443258267</v>
      </c>
      <c r="M8" s="40">
        <f t="shared" si="5"/>
        <v>98.135798556741733</v>
      </c>
      <c r="N8" s="42">
        <f t="shared" si="6"/>
        <v>-261.86420144325825</v>
      </c>
      <c r="O8" s="178">
        <f>COS(RADIANS(J8))*COS(RADIANS(K8-Insolation!$L$6))*SIN(RADIANS(0))+(SIN(RADIANS(J8))*COS(RADIANS(0)))</f>
        <v>0.4216527151808</v>
      </c>
      <c r="P8" s="178">
        <f>COS(RADIANS(J8))*COS(RADIANS(K8-K8))*SIN(RADIANS(Insolation!$L$7))+SIN(RADIANS(J8))*COS(RADIANS(Insolation!$L$7))</f>
        <v>0.86024023103448799</v>
      </c>
      <c r="Q8" s="179">
        <f>COS(RADIANS(J8))*COS(RADIANS(K8-K8))*SIN(RADIANS(Insolation!$L$7))+SIN(RADIANS(J8))*COS(RADIANS(Insolation!$L$7))</f>
        <v>0.86024023103448799</v>
      </c>
      <c r="R8" s="181">
        <f t="shared" si="7"/>
        <v>1</v>
      </c>
      <c r="S8" s="40">
        <f t="shared" si="8"/>
        <v>279.09652046341392</v>
      </c>
      <c r="T8" s="40">
        <f>B7*Insolation!$E$13</f>
        <v>89.302822869784592</v>
      </c>
      <c r="U8" s="40">
        <f>Insolation!$L$8*B7*(SIN(RADIANS(J8))+Insolation!$E$13)*((1-COS(RADIANS(0)))/2)</f>
        <v>0</v>
      </c>
      <c r="V8" s="40">
        <f t="shared" si="9"/>
        <v>569.40236977110635</v>
      </c>
      <c r="W8" s="42">
        <f>Insolation!$E$13*PSH!B7*((1+COS(RADIANS(Insolation!$L$7)))/2)</f>
        <v>81.491871648291578</v>
      </c>
      <c r="X8" s="40">
        <f>Insolation!$L$8*B7*((SIN(RADIANS(J8)))+Insolation!$E$13)*((1-COS(RADIANS(Insolation!$L$7)))/2)</f>
        <v>6.4444755682617645</v>
      </c>
      <c r="Y8" s="40">
        <f>B7*(COS(RADIANS(Angles!$F$10)))</f>
        <v>615.11132109564096</v>
      </c>
      <c r="Z8" s="40">
        <f>Insolation!$E$13*PSH!B7*((1+COS(RADIANS(90-J8+Angles!$F$10)))/2)</f>
        <v>47.193994892740655</v>
      </c>
      <c r="AA8" s="40">
        <f>Insolation!$L$8*((B7*SIN(RADIANS(J8)))+(Insolation!$E$13*B7))*((1-COS(RADIANS(Insolation!$L$7)))/2)</f>
        <v>6.4444755682617645</v>
      </c>
      <c r="AB8" s="40">
        <f t="shared" si="4"/>
        <v>661.91088166891188</v>
      </c>
      <c r="AC8" s="40">
        <f>Insolation!$E$13*B7*((1+COS(RADIANS(90-J8)))/2)</f>
        <v>63.478800303069654</v>
      </c>
      <c r="AD8" s="40">
        <f>Insolation!$L$8*((PSH!B7*SIN(RADIANS(PSH!J8)))+(Insolation!$E$13*PSH!B7))*((1-COS(RADIANS(90-PSH!J8)))/2)</f>
        <v>21.306275994593161</v>
      </c>
    </row>
    <row r="9" spans="1:30" x14ac:dyDescent="0.15">
      <c r="A9" s="157">
        <f>Graph!A9</f>
        <v>8</v>
      </c>
      <c r="B9" s="40">
        <f>Graph!D9</f>
        <v>763.95531634958468</v>
      </c>
      <c r="C9" s="204">
        <f t="shared" si="0"/>
        <v>389.90011885768888</v>
      </c>
      <c r="D9" s="161"/>
      <c r="E9" s="165">
        <f t="shared" si="1"/>
        <v>389.90011885768888</v>
      </c>
      <c r="F9" s="165">
        <f t="shared" si="2"/>
        <v>4765.9506301489473</v>
      </c>
      <c r="G9" s="38">
        <f t="shared" si="3"/>
        <v>263.29749999999876</v>
      </c>
      <c r="H9" s="38"/>
      <c r="I9" s="157">
        <v>8.5</v>
      </c>
      <c r="J9" s="40">
        <f>Graph!B8</f>
        <v>30.652478432782889</v>
      </c>
      <c r="K9" s="40">
        <f>IF(COS(RADIANS(Graph!H8))&gt;=((TAN(RADIANS(Angles!$F$10)))/(TAN(RADIANS(Time!$P$4)))),L9,IF(A8&lt;12,M9,N9))</f>
        <v>93.621207565703884</v>
      </c>
      <c r="L9" s="40">
        <f>DEGREES(ASIN(COS(RADIANS(Angles!$F$10))*SIN(RADIANS(Graph!H8))/COS(RADIANS(J9))))</f>
        <v>86.378792434296116</v>
      </c>
      <c r="M9" s="40">
        <f t="shared" si="5"/>
        <v>93.621207565703884</v>
      </c>
      <c r="N9" s="42">
        <f t="shared" si="6"/>
        <v>-266.37879243429609</v>
      </c>
      <c r="O9" s="178">
        <f>COS(RADIANS(J9))*COS(RADIANS(K9-Insolation!$L$6))*SIN(RADIANS(0))+(SIN(RADIANS(J9))*COS(RADIANS(0)))</f>
        <v>0.50982957419508024</v>
      </c>
      <c r="P9" s="178">
        <f>COS(RADIANS(J9))*COS(RADIANS(K9-K9))*SIN(RADIANS(Insolation!$L$7))+SIN(RADIANS(J9))*COS(RADIANS(Insolation!$L$7))</f>
        <v>0.90672829618990658</v>
      </c>
      <c r="Q9" s="179">
        <f>COS(RADIANS(J9))*COS(RADIANS(K9-K9))*SIN(RADIANS(Insolation!$L$7))+SIN(RADIANS(J9))*COS(RADIANS(Insolation!$L$7))</f>
        <v>0.90672829618990658</v>
      </c>
      <c r="R9" s="181">
        <f t="shared" si="7"/>
        <v>1</v>
      </c>
      <c r="S9" s="40">
        <f t="shared" si="8"/>
        <v>367.65680608256849</v>
      </c>
      <c r="T9" s="40">
        <f>B8*Insolation!$E$13</f>
        <v>97.293371221368545</v>
      </c>
      <c r="U9" s="40">
        <f>Insolation!$L$8*B8*(SIN(RADIANS(J9))+Insolation!$E$13)*((1-COS(RADIANS(0)))/2)</f>
        <v>0</v>
      </c>
      <c r="V9" s="40">
        <f t="shared" si="9"/>
        <v>653.87503243252843</v>
      </c>
      <c r="W9" s="42">
        <f>Insolation!$E$13*PSH!B8*((1+COS(RADIANS(Insolation!$L$7)))/2)</f>
        <v>88.783519546323106</v>
      </c>
      <c r="X9" s="40">
        <f>Insolation!$L$8*B8*((SIN(RADIANS(J9)))+Insolation!$E$13)*((1-COS(RADIANS(Insolation!$L$7)))/2)</f>
        <v>8.1334565664090821</v>
      </c>
      <c r="Y9" s="40">
        <f>B8*(COS(RADIANS(Angles!$F$10)))</f>
        <v>670.14963449798699</v>
      </c>
      <c r="Z9" s="40">
        <f>Insolation!$E$13*PSH!B8*((1+COS(RADIANS(90-J9+Angles!$F$10)))/2)</f>
        <v>56.238137699037495</v>
      </c>
      <c r="AA9" s="40">
        <f>Insolation!$L$8*((B8*SIN(RADIANS(J9)))+(Insolation!$E$13*B8))*((1-COS(RADIANS(Insolation!$L$7)))/2)</f>
        <v>8.1334565664090821</v>
      </c>
      <c r="AB9" s="40">
        <f t="shared" si="4"/>
        <v>721.13667917955854</v>
      </c>
      <c r="AC9" s="40">
        <f>Insolation!$E$13*B8*((1+COS(RADIANS(90-J9)))/2)</f>
        <v>73.448204621581368</v>
      </c>
      <c r="AD9" s="40">
        <f>Insolation!$L$8*((PSH!B8*SIN(RADIANS(PSH!J9)))+(Insolation!$E$13*PSH!B8))*((1-COS(RADIANS(90-PSH!J9)))/2)</f>
        <v>22.790482638714373</v>
      </c>
    </row>
    <row r="10" spans="1:30" x14ac:dyDescent="0.15">
      <c r="A10" s="157">
        <f>Graph!A10</f>
        <v>8.5</v>
      </c>
      <c r="B10" s="40">
        <f>Graph!D10</f>
        <v>795.64515908117096</v>
      </c>
      <c r="C10" s="204">
        <f t="shared" si="0"/>
        <v>403.76495913896235</v>
      </c>
      <c r="D10" s="161"/>
      <c r="E10" s="165">
        <f t="shared" si="1"/>
        <v>403.76495913896235</v>
      </c>
      <c r="F10" s="165"/>
      <c r="G10" s="38">
        <f t="shared" si="3"/>
        <v>302.59749999999985</v>
      </c>
      <c r="H10" s="38"/>
      <c r="I10" s="157">
        <v>9</v>
      </c>
      <c r="J10" s="40">
        <f>Graph!B9</f>
        <v>36.394751762200009</v>
      </c>
      <c r="K10" s="40">
        <f>IF(COS(RADIANS(Graph!H9))&gt;=((TAN(RADIANS(Angles!$F$10)))/(TAN(RADIANS(Time!$P$4)))),L10,IF(A9&lt;12,M10,N10))</f>
        <v>88.879352942611533</v>
      </c>
      <c r="L10" s="40">
        <f>DEGREES(ASIN(COS(RADIANS(Angles!$F$10))*SIN(RADIANS(Graph!H9))/COS(RADIANS(J10))))</f>
        <v>88.879352942611533</v>
      </c>
      <c r="M10" s="40">
        <f t="shared" si="5"/>
        <v>91.120647057388467</v>
      </c>
      <c r="N10" s="42">
        <f t="shared" si="6"/>
        <v>-268.87935294261155</v>
      </c>
      <c r="O10" s="178">
        <f>COS(RADIANS(J10))*COS(RADIANS(K10-Insolation!$L$6))*SIN(RADIANS(0))+(SIN(RADIANS(J10))*COS(RADIANS(0)))</f>
        <v>0.59334515662358034</v>
      </c>
      <c r="P10" s="178">
        <f>COS(RADIANS(J10))*COS(RADIANS(K10-K10))*SIN(RADIANS(Insolation!$L$7))+SIN(RADIANS(J10))*COS(RADIANS(Insolation!$L$7))</f>
        <v>0.94437260562935443</v>
      </c>
      <c r="Q10" s="179">
        <f>COS(RADIANS(J10))*COS(RADIANS(K10-K10))*SIN(RADIANS(Insolation!$L$7))+SIN(RADIANS(J10))*COS(RADIANS(Insolation!$L$7))</f>
        <v>0.94437260562935443</v>
      </c>
      <c r="R10" s="181">
        <f t="shared" si="7"/>
        <v>1</v>
      </c>
      <c r="S10" s="40">
        <f t="shared" si="8"/>
        <v>453.28918683286116</v>
      </c>
      <c r="T10" s="40">
        <f>B9*Insolation!$E$13</f>
        <v>103.07031986599455</v>
      </c>
      <c r="U10" s="40">
        <f>Insolation!$L$8*B9*(SIN(RADIANS(J10))+Insolation!$E$13)*((1-COS(RADIANS(0)))/2)</f>
        <v>0</v>
      </c>
      <c r="V10" s="40">
        <f t="shared" si="9"/>
        <v>721.45847268545504</v>
      </c>
      <c r="W10" s="42">
        <f>Insolation!$E$13*PSH!B9*((1+COS(RADIANS(Insolation!$L$7)))/2)</f>
        <v>94.055182214289218</v>
      </c>
      <c r="X10" s="40">
        <f>Insolation!$L$8*B9*((SIN(RADIANS(J10)))+Insolation!$E$13)*((1-COS(RADIANS(Insolation!$L$7)))/2)</f>
        <v>9.7324963059124929</v>
      </c>
      <c r="Y10" s="40">
        <f>B9*(COS(RADIANS(Angles!$F$10)))</f>
        <v>709.94083480392806</v>
      </c>
      <c r="Z10" s="40">
        <f>Insolation!$E$13*PSH!B9*((1+COS(RADIANS(90-J10+Angles!$F$10)))/2)</f>
        <v>64.630132588837256</v>
      </c>
      <c r="AA10" s="40">
        <f>Insolation!$L$8*((B9*SIN(RADIANS(J10)))+(Insolation!$E$13*B9))*((1-COS(RADIANS(Insolation!$L$7)))/2)</f>
        <v>9.7324963059124929</v>
      </c>
      <c r="AB10" s="40">
        <f t="shared" si="4"/>
        <v>763.95531634958468</v>
      </c>
      <c r="AC10" s="40">
        <f>Insolation!$E$13*B9*((1+COS(RADIANS(90-J10)))/2)</f>
        <v>82.113297475062808</v>
      </c>
      <c r="AD10" s="40">
        <f>Insolation!$L$8*((PSH!B9*SIN(RADIANS(PSH!J10)))+(Insolation!$E$13*PSH!B9))*((1-COS(RADIANS(90-PSH!J10)))/2)</f>
        <v>22.62462880576053</v>
      </c>
    </row>
    <row r="11" spans="1:30" x14ac:dyDescent="0.15">
      <c r="A11" s="157">
        <f>Graph!A11</f>
        <v>9</v>
      </c>
      <c r="B11" s="40">
        <f>Graph!D11</f>
        <v>819.41467747467846</v>
      </c>
      <c r="C11" s="204">
        <f t="shared" si="0"/>
        <v>414.1775062888596</v>
      </c>
      <c r="D11" s="161"/>
      <c r="E11" s="165">
        <f t="shared" si="1"/>
        <v>414.1775062888596</v>
      </c>
      <c r="F11" s="165">
        <f t="shared" si="2"/>
        <v>5019.208096907947</v>
      </c>
      <c r="G11" s="38">
        <f t="shared" si="3"/>
        <v>337.67500000000109</v>
      </c>
      <c r="H11" s="38"/>
      <c r="I11" s="157">
        <v>9.5</v>
      </c>
      <c r="J11" s="40">
        <f>Graph!B10</f>
        <v>42.126559294713232</v>
      </c>
      <c r="K11" s="40">
        <f>IF(COS(RADIANS(Graph!H10))&gt;=((TAN(RADIANS(Angles!$F$10)))/(TAN(RADIANS(Time!$P$4)))),L11,IF(A10&lt;12,M11,N11))</f>
        <v>83.752504032486897</v>
      </c>
      <c r="L11" s="40">
        <f>DEGREES(ASIN(COS(RADIANS(Angles!$F$10))*SIN(RADIANS(Graph!H10))/COS(RADIANS(J11))))</f>
        <v>83.752504032486897</v>
      </c>
      <c r="M11" s="40">
        <f t="shared" si="5"/>
        <v>96.247495967513103</v>
      </c>
      <c r="N11" s="42">
        <f t="shared" si="6"/>
        <v>-263.75250403248691</v>
      </c>
      <c r="O11" s="178">
        <f>COS(RADIANS(J11))*COS(RADIANS(K11-Insolation!$L$6))*SIN(RADIANS(0))+(SIN(RADIANS(J11))*COS(RADIANS(0)))</f>
        <v>0.67077048769605474</v>
      </c>
      <c r="P11" s="178">
        <f>COS(RADIANS(J11))*COS(RADIANS(K11-K11))*SIN(RADIANS(Insolation!$L$7))+SIN(RADIANS(J11))*COS(RADIANS(Insolation!$L$7))</f>
        <v>0.97249670071437955</v>
      </c>
      <c r="Q11" s="179">
        <f>COS(RADIANS(J11))*COS(RADIANS(K11-K11))*SIN(RADIANS(Insolation!$L$7))+SIN(RADIANS(J11))*COS(RADIANS(Insolation!$L$7))</f>
        <v>0.97249670071437955</v>
      </c>
      <c r="R11" s="181">
        <f t="shared" si="7"/>
        <v>1</v>
      </c>
      <c r="S11" s="40">
        <f t="shared" si="8"/>
        <v>533.69529138988207</v>
      </c>
      <c r="T11" s="40">
        <f>B10*Insolation!$E$13</f>
        <v>107.34580844097425</v>
      </c>
      <c r="U11" s="40">
        <f>Insolation!$L$8*B10*(SIN(RADIANS(J11))+Insolation!$E$13)*((1-COS(RADIANS(0)))/2)</f>
        <v>0</v>
      </c>
      <c r="V11" s="40">
        <f t="shared" si="9"/>
        <v>773.76229214580644</v>
      </c>
      <c r="W11" s="42">
        <f>Insolation!$E$13*PSH!B10*((1+COS(RADIANS(Insolation!$L$7)))/2)</f>
        <v>97.95671135961112</v>
      </c>
      <c r="X11" s="40">
        <f>Insolation!$L$8*B10*((SIN(RADIANS(J11)))+Insolation!$E$13)*((1-COS(RADIANS(Insolation!$L$7)))/2)</f>
        <v>11.213846552313658</v>
      </c>
      <c r="Y11" s="40">
        <f>B10*(COS(RADIANS(Angles!$F$10)))</f>
        <v>739.39008781936559</v>
      </c>
      <c r="Z11" s="40">
        <f>Insolation!$E$13*PSH!B10*((1+COS(RADIANS(90-J11+Angles!$F$10)))/2)</f>
        <v>72.42737645171772</v>
      </c>
      <c r="AA11" s="40">
        <f>Insolation!$L$8*((B10*SIN(RADIANS(J11)))+(Insolation!$E$13*B10))*((1-COS(RADIANS(Insolation!$L$7)))/2)</f>
        <v>11.213846552313658</v>
      </c>
      <c r="AB11" s="40">
        <f t="shared" si="4"/>
        <v>795.64515908117096</v>
      </c>
      <c r="AC11" s="40">
        <f>Insolation!$E$13*B10*((1+COS(RADIANS(90-J11)))/2)</f>
        <v>89.675104360526916</v>
      </c>
      <c r="AD11" s="40">
        <f>Insolation!$L$8*((PSH!B10*SIN(RADIANS(PSH!J11)))+(Insolation!$E$13*PSH!B10))*((1-COS(RADIANS(90-PSH!J11)))/2)</f>
        <v>21.104964866409745</v>
      </c>
    </row>
    <row r="12" spans="1:30" x14ac:dyDescent="0.15">
      <c r="A12" s="157">
        <f>Graph!A12</f>
        <v>9.5</v>
      </c>
      <c r="B12" s="40">
        <f>Graph!D12</f>
        <v>837.29534768075985</v>
      </c>
      <c r="C12" s="204">
        <f t="shared" si="0"/>
        <v>421.97684409774729</v>
      </c>
      <c r="D12" s="161"/>
      <c r="E12" s="165">
        <f t="shared" si="1"/>
        <v>421.97684409774729</v>
      </c>
      <c r="F12" s="165"/>
      <c r="G12" s="38">
        <f t="shared" si="3"/>
        <v>368.53000000000065</v>
      </c>
      <c r="H12" s="38"/>
      <c r="I12" s="157">
        <v>10</v>
      </c>
      <c r="J12" s="40">
        <f>Graph!B11</f>
        <v>47.797970161517192</v>
      </c>
      <c r="K12" s="40">
        <f>IF(COS(RADIANS(Graph!H11))&gt;=((TAN(RADIANS(Angles!$F$10)))/(TAN(RADIANS(Time!$P$4)))),L12,IF(A11&lt;12,M12,N12))</f>
        <v>78.018125103721204</v>
      </c>
      <c r="L12" s="40">
        <f>DEGREES(ASIN(COS(RADIANS(Angles!$F$10))*SIN(RADIANS(Graph!H11))/COS(RADIANS(J12))))</f>
        <v>78.018125103721204</v>
      </c>
      <c r="M12" s="40">
        <f t="shared" si="5"/>
        <v>101.9818748962788</v>
      </c>
      <c r="N12" s="42">
        <f t="shared" si="6"/>
        <v>-258.01812510372122</v>
      </c>
      <c r="O12" s="178">
        <f>COS(RADIANS(J12))*COS(RADIANS(K12-Insolation!$L$6))*SIN(RADIANS(0))+(SIN(RADIANS(J12))*COS(RADIANS(0)))</f>
        <v>0.74078079853149625</v>
      </c>
      <c r="P12" s="178">
        <f>COS(RADIANS(J12))*COS(RADIANS(K12-K12))*SIN(RADIANS(Insolation!$L$7))+SIN(RADIANS(J12))*COS(RADIANS(Insolation!$L$7))</f>
        <v>0.99075390931000129</v>
      </c>
      <c r="Q12" s="179">
        <f>COS(RADIANS(J12))*COS(RADIANS(K12-K12))*SIN(RADIANS(Insolation!$L$7))+SIN(RADIANS(J12))*COS(RADIANS(Insolation!$L$7))</f>
        <v>0.99075390931000129</v>
      </c>
      <c r="R12" s="181">
        <f t="shared" si="7"/>
        <v>1</v>
      </c>
      <c r="S12" s="40">
        <f t="shared" si="8"/>
        <v>607.00665910812074</v>
      </c>
      <c r="T12" s="40">
        <f>B11*Insolation!$E$13</f>
        <v>110.55271310077293</v>
      </c>
      <c r="U12" s="40">
        <f>Insolation!$L$8*B11*(SIN(RADIANS(J12))+Insolation!$E$13)*((1-COS(RADIANS(0)))/2)</f>
        <v>0</v>
      </c>
      <c r="V12" s="40">
        <f t="shared" si="9"/>
        <v>811.83829505403151</v>
      </c>
      <c r="W12" s="42">
        <f>Insolation!$E$13*PSH!B11*((1+COS(RADIANS(Insolation!$L$7)))/2)</f>
        <v>100.88312123699748</v>
      </c>
      <c r="X12" s="40">
        <f>Insolation!$L$8*B11*((SIN(RADIANS(J12)))+Insolation!$E$13)*((1-COS(RADIANS(Insolation!$L$7)))/2)</f>
        <v>12.552394369484601</v>
      </c>
      <c r="Y12" s="40">
        <f>B11*(COS(RADIANS(Angles!$F$10)))</f>
        <v>761.47901287823925</v>
      </c>
      <c r="Z12" s="40">
        <f>Insolation!$E$13*PSH!B11*((1+COS(RADIANS(90-J12+Angles!$F$10)))/2)</f>
        <v>79.614821186482644</v>
      </c>
      <c r="AA12" s="40">
        <f>Insolation!$L$8*((B11*SIN(RADIANS(J12)))+(Insolation!$E$13*B11))*((1-COS(RADIANS(Insolation!$L$7)))/2)</f>
        <v>12.552394369484601</v>
      </c>
      <c r="AB12" s="40">
        <f t="shared" si="4"/>
        <v>819.41467747467846</v>
      </c>
      <c r="AC12" s="40">
        <f>Insolation!$E$13*B11*((1+COS(RADIANS(90-J12)))/2)</f>
        <v>96.224020095693476</v>
      </c>
      <c r="AD12" s="40">
        <f>Insolation!$L$8*((PSH!B11*SIN(RADIANS(PSH!J12)))+(Insolation!$E$13*PSH!B11))*((1-COS(RADIANS(90-PSH!J12)))/2)</f>
        <v>18.600516747023022</v>
      </c>
    </row>
    <row r="13" spans="1:30" x14ac:dyDescent="0.15">
      <c r="A13" s="157">
        <f>Graph!A13</f>
        <v>10</v>
      </c>
      <c r="B13" s="40">
        <f>Graph!D13</f>
        <v>850.6120287102292</v>
      </c>
      <c r="C13" s="204">
        <f t="shared" si="0"/>
        <v>427.71354710016732</v>
      </c>
      <c r="D13" s="161"/>
      <c r="E13" s="165">
        <f t="shared" si="1"/>
        <v>427.71354710016732</v>
      </c>
      <c r="F13" s="165">
        <f t="shared" si="2"/>
        <v>5158.3446135565482</v>
      </c>
      <c r="G13" s="38">
        <f t="shared" si="3"/>
        <v>395.16249999999854</v>
      </c>
      <c r="H13" s="38"/>
      <c r="I13" s="157">
        <v>10.5</v>
      </c>
      <c r="J13" s="40">
        <f>Graph!B12</f>
        <v>53.338610815998862</v>
      </c>
      <c r="K13" s="40">
        <f>IF(COS(RADIANS(Graph!H12))&gt;=((TAN(RADIANS(Angles!$F$10)))/(TAN(RADIANS(Time!$P$4)))),L13,IF(A12&lt;12,M13,N13))</f>
        <v>71.34643563701313</v>
      </c>
      <c r="L13" s="40">
        <f>DEGREES(ASIN(COS(RADIANS(Angles!$F$10))*SIN(RADIANS(Graph!H12))/COS(RADIANS(J13))))</f>
        <v>71.34643563701313</v>
      </c>
      <c r="M13" s="40">
        <f t="shared" si="5"/>
        <v>108.65356436298687</v>
      </c>
      <c r="N13" s="42">
        <f t="shared" si="6"/>
        <v>-251.34643563701314</v>
      </c>
      <c r="O13" s="178">
        <f>COS(RADIANS(J13))*COS(RADIANS(K13-Insolation!$L$6))*SIN(RADIANS(0))+(SIN(RADIANS(J13))*COS(RADIANS(0)))</f>
        <v>0.80217819330098539</v>
      </c>
      <c r="P13" s="178">
        <f>COS(RADIANS(J13))*COS(RADIANS(K13-K13))*SIN(RADIANS(Insolation!$L$7))+SIN(RADIANS(J13))*COS(RADIANS(Insolation!$L$7))</f>
        <v>0.99922437194526104</v>
      </c>
      <c r="Q13" s="179">
        <f>COS(RADIANS(J13))*COS(RADIANS(K13-K13))*SIN(RADIANS(Insolation!$L$7))+SIN(RADIANS(J13))*COS(RADIANS(Insolation!$L$7))</f>
        <v>0.99922437194526104</v>
      </c>
      <c r="R13" s="181">
        <f t="shared" si="7"/>
        <v>1</v>
      </c>
      <c r="S13" s="40">
        <f t="shared" si="8"/>
        <v>671.66006926187231</v>
      </c>
      <c r="T13" s="40">
        <f>B12*Insolation!$E$13</f>
        <v>112.9651138762076</v>
      </c>
      <c r="U13" s="40">
        <f>Insolation!$L$8*B12*(SIN(RADIANS(J13))+Insolation!$E$13)*((1-COS(RADIANS(0)))/2)</f>
        <v>0</v>
      </c>
      <c r="V13" s="40">
        <f t="shared" si="9"/>
        <v>836.64591791899625</v>
      </c>
      <c r="W13" s="42">
        <f>Insolation!$E$13*PSH!B12*((1+COS(RADIANS(Insolation!$L$7)))/2)</f>
        <v>103.08451922239618</v>
      </c>
      <c r="X13" s="40">
        <f>Insolation!$L$8*B12*((SIN(RADIANS(J13)))+Insolation!$E$13)*((1-COS(RADIANS(Insolation!$L$7)))/2)</f>
        <v>13.725588588801916</v>
      </c>
      <c r="Y13" s="40">
        <f>B12*(COS(RADIANS(Angles!$F$10)))</f>
        <v>778.09545321354051</v>
      </c>
      <c r="Z13" s="40">
        <f>Insolation!$E$13*PSH!B12*((1+COS(RADIANS(90-J13+Angles!$F$10)))/2)</f>
        <v>86.132333511342907</v>
      </c>
      <c r="AA13" s="40">
        <f>Insolation!$L$8*((B12*SIN(RADIANS(J13)))+(Insolation!$E$13*B12))*((1-COS(RADIANS(Insolation!$L$7)))/2)</f>
        <v>13.725588588801916</v>
      </c>
      <c r="AB13" s="40">
        <f t="shared" si="4"/>
        <v>837.29534768075985</v>
      </c>
      <c r="AC13" s="40">
        <f>Insolation!$E$13*B12*((1+COS(RADIANS(90-J13)))/2)</f>
        <v>101.79163241573194</v>
      </c>
      <c r="AD13" s="40">
        <f>Insolation!$L$8*((PSH!B12*SIN(RADIANS(PSH!J13)))+(Insolation!$E$13*PSH!B12))*((1-COS(RADIANS(90-PSH!J13)))/2)</f>
        <v>15.521597130992021</v>
      </c>
    </row>
    <row r="14" spans="1:30" x14ac:dyDescent="0.15">
      <c r="A14" s="157">
        <f>Graph!A14</f>
        <v>10.5</v>
      </c>
      <c r="B14" s="40">
        <f>Graph!D14</f>
        <v>860.24215969044008</v>
      </c>
      <c r="C14" s="204">
        <f t="shared" si="0"/>
        <v>431.75152644374975</v>
      </c>
      <c r="D14" s="161"/>
      <c r="E14" s="165">
        <f t="shared" si="1"/>
        <v>431.75152644374975</v>
      </c>
      <c r="F14" s="165"/>
      <c r="G14" s="38">
        <f t="shared" si="3"/>
        <v>417.57250000000204</v>
      </c>
      <c r="H14" s="38"/>
      <c r="I14" s="157">
        <v>11</v>
      </c>
      <c r="J14" s="40">
        <f>Graph!B13</f>
        <v>58.639760317883933</v>
      </c>
      <c r="K14" s="40">
        <f>IF(COS(RADIANS(Graph!H13))&gt;=((TAN(RADIANS(Angles!$F$10)))/(TAN(RADIANS(Time!$P$4)))),L14,IF(A13&lt;12,M14,N14))</f>
        <v>63.232039853994458</v>
      </c>
      <c r="L14" s="40">
        <f>DEGREES(ASIN(COS(RADIANS(Angles!$F$10))*SIN(RADIANS(Graph!H13))/COS(RADIANS(J14))))</f>
        <v>63.232039853994458</v>
      </c>
      <c r="M14" s="40">
        <f t="shared" si="5"/>
        <v>116.76796014600555</v>
      </c>
      <c r="N14" s="42">
        <f t="shared" si="6"/>
        <v>-243.23203985399445</v>
      </c>
      <c r="O14" s="178">
        <f>COS(RADIANS(J14))*COS(RADIANS(K14-Insolation!$L$6))*SIN(RADIANS(0))+(SIN(RADIANS(J14))*COS(RADIANS(0)))</f>
        <v>0.85391214555744221</v>
      </c>
      <c r="P14" s="178">
        <f>COS(RADIANS(J14))*COS(RADIANS(K14-K14))*SIN(RADIANS(Insolation!$L$7))+SIN(RADIANS(J14))*COS(RADIANS(Insolation!$L$7))</f>
        <v>0.99858872226575857</v>
      </c>
      <c r="Q14" s="179">
        <f>COS(RADIANS(J14))*COS(RADIANS(K14-K14))*SIN(RADIANS(Insolation!$L$7))+SIN(RADIANS(J14))*COS(RADIANS(Insolation!$L$7))</f>
        <v>0.99858872226575857</v>
      </c>
      <c r="R14" s="181">
        <f t="shared" si="7"/>
        <v>1</v>
      </c>
      <c r="S14" s="40">
        <f t="shared" si="8"/>
        <v>726.34794247292041</v>
      </c>
      <c r="T14" s="40">
        <f>B13*Insolation!$E$13</f>
        <v>114.76175635501031</v>
      </c>
      <c r="U14" s="40">
        <f>Insolation!$L$8*B13*(SIN(RADIANS(J14))+Insolation!$E$13)*((1-COS(RADIANS(0)))/2)</f>
        <v>0</v>
      </c>
      <c r="V14" s="40">
        <f t="shared" si="9"/>
        <v>849.41157889363251</v>
      </c>
      <c r="W14" s="42">
        <f>Insolation!$E$13*PSH!B13*((1+COS(RADIANS(Insolation!$L$7)))/2)</f>
        <v>104.72401676094483</v>
      </c>
      <c r="X14" s="40">
        <f>Insolation!$L$8*B13*((SIN(RADIANS(J14)))+Insolation!$E$13)*((1-COS(RADIANS(Insolation!$L$7)))/2)</f>
        <v>14.713682318977517</v>
      </c>
      <c r="Y14" s="40">
        <f>B13*(COS(RADIANS(Angles!$F$10)))</f>
        <v>790.47059537768371</v>
      </c>
      <c r="Z14" s="40">
        <f>Insolation!$E$13*PSH!B13*((1+COS(RADIANS(90-J14+Angles!$F$10)))/2)</f>
        <v>91.885666839073892</v>
      </c>
      <c r="AA14" s="40">
        <f>Insolation!$L$8*((B13*SIN(RADIANS(J14)))+(Insolation!$E$13*B13))*((1-COS(RADIANS(Insolation!$L$7)))/2)</f>
        <v>14.713682318977517</v>
      </c>
      <c r="AB14" s="40">
        <f t="shared" si="4"/>
        <v>850.6120287102292</v>
      </c>
      <c r="AC14" s="40">
        <f>Insolation!$E$13*B13*((1+COS(RADIANS(90-J14)))/2)</f>
        <v>106.37910697602879</v>
      </c>
      <c r="AD14" s="40">
        <f>Insolation!$L$8*((PSH!B13*SIN(RADIANS(PSH!J14)))+(Insolation!$E$13*PSH!B13))*((1-COS(RADIANS(90-PSH!J14)))/2)</f>
        <v>12.287591125259828</v>
      </c>
    </row>
    <row r="15" spans="1:30" x14ac:dyDescent="0.15">
      <c r="A15" s="157">
        <f>Graph!A15</f>
        <v>11</v>
      </c>
      <c r="B15" s="40">
        <f>Graph!D15</f>
        <v>866.76394608455882</v>
      </c>
      <c r="C15" s="204">
        <f t="shared" si="0"/>
        <v>434.32667643811607</v>
      </c>
      <c r="D15" s="161"/>
      <c r="E15" s="165">
        <f t="shared" si="1"/>
        <v>434.32667643811607</v>
      </c>
      <c r="F15" s="165">
        <f t="shared" si="2"/>
        <v>5220.7157698413757</v>
      </c>
      <c r="G15" s="38">
        <f t="shared" si="3"/>
        <v>435.7599999999984</v>
      </c>
      <c r="H15" s="38"/>
      <c r="I15" s="157">
        <v>11.5</v>
      </c>
      <c r="J15" s="40">
        <f>Graph!B14</f>
        <v>63.520952647447686</v>
      </c>
      <c r="K15" s="40">
        <f>IF(COS(RADIANS(Graph!H14))&gt;=((TAN(RADIANS(Angles!$F$10)))/(TAN(RADIANS(Time!$P$4)))),L15,IF(A14&lt;12,M15,N15))</f>
        <v>52.901520178593017</v>
      </c>
      <c r="L15" s="40">
        <f>DEGREES(ASIN(COS(RADIANS(Angles!$F$10))*SIN(RADIANS(Graph!H14))/COS(RADIANS(J15))))</f>
        <v>52.901520178593017</v>
      </c>
      <c r="M15" s="40">
        <f t="shared" si="5"/>
        <v>127.09847982140698</v>
      </c>
      <c r="N15" s="42">
        <f t="shared" si="6"/>
        <v>-232.90152017859302</v>
      </c>
      <c r="O15" s="178">
        <f>COS(RADIANS(J15))*COS(RADIANS(K15-Insolation!$L$6))*SIN(RADIANS(0))+(SIN(RADIANS(J15))*COS(RADIANS(0)))</f>
        <v>0.89509747303439735</v>
      </c>
      <c r="P15" s="178">
        <f>COS(RADIANS(J15))*COS(RADIANS(K15-K15))*SIN(RADIANS(Insolation!$L$7))+SIN(RADIANS(J15))*COS(RADIANS(Insolation!$L$7))</f>
        <v>0.99044808587453714</v>
      </c>
      <c r="Q15" s="179">
        <f>COS(RADIANS(J15))*COS(RADIANS(K15-K15))*SIN(RADIANS(Insolation!$L$7))+SIN(RADIANS(J15))*COS(RADIANS(Insolation!$L$7))</f>
        <v>0.99044808587453714</v>
      </c>
      <c r="R15" s="181">
        <f t="shared" si="7"/>
        <v>1</v>
      </c>
      <c r="S15" s="40">
        <f t="shared" si="8"/>
        <v>770.00058333656546</v>
      </c>
      <c r="T15" s="40">
        <f>B14*Insolation!$E$13</f>
        <v>116.0610217167917</v>
      </c>
      <c r="U15" s="40">
        <f>Insolation!$L$8*B14*(SIN(RADIANS(J15))+Insolation!$E$13)*((1-COS(RADIANS(0)))/2)</f>
        <v>0</v>
      </c>
      <c r="V15" s="40">
        <f t="shared" si="9"/>
        <v>852.02520045397432</v>
      </c>
      <c r="W15" s="42">
        <f>Insolation!$E$13*PSH!B14*((1+COS(RADIANS(Insolation!$L$7)))/2)</f>
        <v>105.90964071656992</v>
      </c>
      <c r="X15" s="40">
        <f>Insolation!$L$8*B14*((SIN(RADIANS(J15)))+Insolation!$E$13)*((1-COS(RADIANS(Insolation!$L$7)))/2)</f>
        <v>15.500034050214298</v>
      </c>
      <c r="Y15" s="40">
        <f>B14*(COS(RADIANS(Angles!$F$10)))</f>
        <v>799.41984028906222</v>
      </c>
      <c r="Z15" s="40">
        <f>Insolation!$E$13*PSH!B14*((1+COS(RADIANS(90-J15+Angles!$F$10)))/2)</f>
        <v>96.744702693255746</v>
      </c>
      <c r="AA15" s="40">
        <f>Insolation!$L$8*((B14*SIN(RADIANS(J15)))+(Insolation!$E$13*B14))*((1-COS(RADIANS(Insolation!$L$7)))/2)</f>
        <v>15.500034050214298</v>
      </c>
      <c r="AB15" s="40">
        <f t="shared" si="4"/>
        <v>860.24215969044008</v>
      </c>
      <c r="AC15" s="40">
        <f>Insolation!$E$13*B14*((1+COS(RADIANS(90-J15)))/2)</f>
        <v>109.97347448664112</v>
      </c>
      <c r="AD15" s="40">
        <f>Insolation!$L$8*((PSH!B14*SIN(RADIANS(PSH!J15)))+(Insolation!$E$13*PSH!B14))*((1-COS(RADIANS(90-PSH!J15)))/2)</f>
        <v>9.295010141729497</v>
      </c>
    </row>
    <row r="16" spans="1:30" x14ac:dyDescent="0.15">
      <c r="A16" s="157">
        <f>Graph!A16</f>
        <v>11.5</v>
      </c>
      <c r="B16" s="40">
        <f>Graph!D16</f>
        <v>870.54275966790544</v>
      </c>
      <c r="C16" s="204">
        <f t="shared" si="0"/>
        <v>435.58088618827514</v>
      </c>
      <c r="D16" s="161"/>
      <c r="E16" s="165">
        <f t="shared" si="1"/>
        <v>435.58088618827514</v>
      </c>
      <c r="F16" s="165"/>
      <c r="G16" s="38">
        <f t="shared" si="3"/>
        <v>449.72499999999854</v>
      </c>
      <c r="H16" s="38"/>
      <c r="I16" s="157">
        <v>12</v>
      </c>
      <c r="J16" s="40">
        <f>Graph!B15</f>
        <v>67.672801248514745</v>
      </c>
      <c r="K16" s="40">
        <f>IF(COS(RADIANS(Graph!H15))&gt;=((TAN(RADIANS(Angles!$F$10)))/(TAN(RADIANS(Time!$P$4)))),L16,IF(A15&lt;12,M16,N16))</f>
        <v>39.280736262274445</v>
      </c>
      <c r="L16" s="40">
        <f>DEGREES(ASIN(COS(RADIANS(Angles!$F$10))*SIN(RADIANS(Graph!H15))/COS(RADIANS(J16))))</f>
        <v>39.280736262274445</v>
      </c>
      <c r="M16" s="40">
        <f t="shared" si="5"/>
        <v>140.71926373772556</v>
      </c>
      <c r="N16" s="42">
        <f t="shared" si="6"/>
        <v>-219.28073626227444</v>
      </c>
      <c r="O16" s="178">
        <f>COS(RADIANS(J16))*COS(RADIANS(K16-Insolation!$L$6))*SIN(RADIANS(0))+(SIN(RADIANS(J16))*COS(RADIANS(0)))</f>
        <v>0.92502948335999025</v>
      </c>
      <c r="P16" s="178">
        <f>COS(RADIANS(J16))*COS(RADIANS(K16-K16))*SIN(RADIANS(Insolation!$L$7))+SIN(RADIANS(J16))*COS(RADIANS(Insolation!$L$7))</f>
        <v>0.97786586686126897</v>
      </c>
      <c r="Q16" s="179">
        <f>COS(RADIANS(J16))*COS(RADIANS(K16-K16))*SIN(RADIANS(Insolation!$L$7))+SIN(RADIANS(J16))*COS(RADIANS(Insolation!$L$7))</f>
        <v>0.97786586686126897</v>
      </c>
      <c r="R16" s="181">
        <f t="shared" si="7"/>
        <v>1</v>
      </c>
      <c r="S16" s="40">
        <f t="shared" si="8"/>
        <v>801.78220524166591</v>
      </c>
      <c r="T16" s="40">
        <f>B15*Insolation!$E$13</f>
        <v>116.94091952672056</v>
      </c>
      <c r="U16" s="40">
        <f>Insolation!$L$8*B15*(SIN(RADIANS(J16))+Insolation!$E$13)*((1-COS(RADIANS(0)))/2)</f>
        <v>0</v>
      </c>
      <c r="V16" s="40">
        <f t="shared" si="9"/>
        <v>847.57887750207135</v>
      </c>
      <c r="W16" s="42">
        <f>Insolation!$E$13*PSH!B15*((1+COS(RADIANS(Insolation!$L$7)))/2)</f>
        <v>106.7125774780975</v>
      </c>
      <c r="X16" s="40">
        <f>Insolation!$L$8*B15*((SIN(RADIANS(J16)))+Insolation!$E$13)*((1-COS(RADIANS(Insolation!$L$7)))/2)</f>
        <v>16.071387853186287</v>
      </c>
      <c r="Y16" s="40">
        <f>B15*(COS(RADIANS(Angles!$F$10)))</f>
        <v>805.48051213460622</v>
      </c>
      <c r="Z16" s="40">
        <f>Insolation!$E$13*PSH!B15*((1+COS(RADIANS(90-J16+Angles!$F$10)))/2)</f>
        <v>100.52930109869797</v>
      </c>
      <c r="AA16" s="40">
        <f>Insolation!$L$8*((B15*SIN(RADIANS(J16)))+(Insolation!$E$13*B15))*((1-COS(RADIANS(Insolation!$L$7)))/2)</f>
        <v>16.071387853186287</v>
      </c>
      <c r="AB16" s="40">
        <f t="shared" si="4"/>
        <v>866.76394608455882</v>
      </c>
      <c r="AC16" s="40">
        <f>Insolation!$E$13*B15*((1+COS(RADIANS(90-J16)))/2)</f>
        <v>112.55735895008253</v>
      </c>
      <c r="AD16" s="40">
        <f>Insolation!$L$8*((PSH!B15*SIN(RADIANS(PSH!J16)))+(Insolation!$E$13*PSH!B15))*((1-COS(RADIANS(90-PSH!J16)))/2)</f>
        <v>6.8877147313010081</v>
      </c>
    </row>
    <row r="17" spans="1:30" x14ac:dyDescent="0.15">
      <c r="A17" s="157">
        <f>Graph!A17</f>
        <v>12</v>
      </c>
      <c r="B17" s="40">
        <f>Graph!D17</f>
        <v>871.78078508519502</v>
      </c>
      <c r="C17" s="204">
        <f t="shared" si="0"/>
        <v>435.58088618827514</v>
      </c>
      <c r="D17" s="161"/>
      <c r="E17" s="165">
        <f t="shared" si="1"/>
        <v>435.58088618827514</v>
      </c>
      <c r="F17" s="165">
        <f t="shared" si="2"/>
        <v>5220.7157698413757</v>
      </c>
      <c r="G17" s="38">
        <f t="shared" si="3"/>
        <v>459.46750000000247</v>
      </c>
      <c r="H17" s="38"/>
      <c r="I17" s="157">
        <v>12.5</v>
      </c>
      <c r="J17" s="40">
        <f>Graph!B16</f>
        <v>70.595407628686516</v>
      </c>
      <c r="K17" s="40">
        <f>IF(COS(RADIANS(Graph!H16))&gt;=((TAN(RADIANS(Angles!$F$10)))/(TAN(RADIANS(Time!$P$4)))),L17,IF(A16&lt;12,M17,N17))</f>
        <v>21.413343221011026</v>
      </c>
      <c r="L17" s="40">
        <f>DEGREES(ASIN(COS(RADIANS(Angles!$F$10))*SIN(RADIANS(Graph!H16))/COS(RADIANS(J17))))</f>
        <v>21.413343221011026</v>
      </c>
      <c r="M17" s="40">
        <f t="shared" si="5"/>
        <v>158.58665677898898</v>
      </c>
      <c r="N17" s="42">
        <f t="shared" si="6"/>
        <v>-201.41334322101102</v>
      </c>
      <c r="O17" s="178">
        <f>COS(RADIANS(J17))*COS(RADIANS(K17-Insolation!$L$6))*SIN(RADIANS(0))+(SIN(RADIANS(J17))*COS(RADIANS(0)))</f>
        <v>0.94319603153882881</v>
      </c>
      <c r="P17" s="178">
        <f>COS(RADIANS(J17))*COS(RADIANS(K17-K17))*SIN(RADIANS(Insolation!$L$7))+SIN(RADIANS(J17))*COS(RADIANS(Insolation!$L$7))</f>
        <v>0.9659258262890682</v>
      </c>
      <c r="Q17" s="179">
        <f>COS(RADIANS(J17))*COS(RADIANS(K17-K17))*SIN(RADIANS(Insolation!$L$7))+SIN(RADIANS(J17))*COS(RADIANS(Insolation!$L$7))</f>
        <v>0.9659258262890682</v>
      </c>
      <c r="R17" s="181">
        <f t="shared" si="7"/>
        <v>0.99999999999999989</v>
      </c>
      <c r="S17" s="40">
        <f t="shared" si="8"/>
        <v>821.09247620362885</v>
      </c>
      <c r="T17" s="40">
        <f>B16*Insolation!$E$13</f>
        <v>117.4507445340398</v>
      </c>
      <c r="U17" s="40">
        <f>Insolation!$L$8*B16*(SIN(RADIANS(J17))+Insolation!$E$13)*((1-COS(RADIANS(0)))/2)</f>
        <v>0</v>
      </c>
      <c r="V17" s="40">
        <f t="shared" si="9"/>
        <v>840.87973445218734</v>
      </c>
      <c r="W17" s="42">
        <f>Insolation!$E$13*PSH!B16*((1+COS(RADIANS(Insolation!$L$7)))/2)</f>
        <v>107.17781018546812</v>
      </c>
      <c r="X17" s="40">
        <f>Insolation!$L$8*B16*((SIN(RADIANS(J17)))+Insolation!$E$13)*((1-COS(RADIANS(Insolation!$L$7)))/2)</f>
        <v>16.418104335031686</v>
      </c>
      <c r="Y17" s="40">
        <f>B16*(COS(RADIANS(Angles!$F$10)))</f>
        <v>808.99214954652768</v>
      </c>
      <c r="Z17" s="40">
        <f>Insolation!$E$13*PSH!B16*((1+COS(RADIANS(90-J17+Angles!$F$10)))/2)</f>
        <v>102.99266805716644</v>
      </c>
      <c r="AA17" s="40">
        <f>Insolation!$L$8*((B16*SIN(RADIANS(J17)))+(Insolation!$E$13*B16))*((1-COS(RADIANS(Insolation!$L$7)))/2)</f>
        <v>16.418104335031686</v>
      </c>
      <c r="AB17" s="40">
        <f t="shared" si="4"/>
        <v>870.54275966790544</v>
      </c>
      <c r="AC17" s="40">
        <f>Insolation!$E$13*B16*((1+COS(RADIANS(90-J17)))/2)</f>
        <v>114.11491033991346</v>
      </c>
      <c r="AD17" s="40">
        <f>Insolation!$L$8*((PSH!B16*SIN(RADIANS(PSH!J17)))+(Insolation!$E$13*PSH!B16))*((1-COS(RADIANS(90-PSH!J17)))/2)</f>
        <v>5.3312979510228562</v>
      </c>
    </row>
    <row r="18" spans="1:30" x14ac:dyDescent="0.15">
      <c r="A18" s="157">
        <f>Graph!A18</f>
        <v>12.5</v>
      </c>
      <c r="B18" s="40">
        <f>Graph!D18</f>
        <v>870.54275966790544</v>
      </c>
      <c r="C18" s="204">
        <f t="shared" si="0"/>
        <v>434.32667643811607</v>
      </c>
      <c r="D18" s="161"/>
      <c r="E18" s="165">
        <f t="shared" si="1"/>
        <v>434.32667643811607</v>
      </c>
      <c r="F18" s="165"/>
      <c r="G18" s="38">
        <f t="shared" si="3"/>
        <v>464.98749999999927</v>
      </c>
      <c r="H18" s="38"/>
      <c r="I18" s="157">
        <v>13</v>
      </c>
      <c r="J18" s="40">
        <f>Graph!B17</f>
        <v>71.674617435428033</v>
      </c>
      <c r="K18" s="40">
        <f>IF(COS(RADIANS(Graph!H17))&gt;=((TAN(RADIANS(Angles!$F$10)))/(TAN(RADIANS(Time!$P$4)))),L18,IF(A17&lt;12,M18,N18))</f>
        <v>0</v>
      </c>
      <c r="L18" s="40">
        <f>DEGREES(ASIN(COS(RADIANS(Angles!$F$10))*SIN(RADIANS(Graph!H17))/COS(RADIANS(J18))))</f>
        <v>0</v>
      </c>
      <c r="M18" s="40">
        <f t="shared" si="5"/>
        <v>180</v>
      </c>
      <c r="N18" s="42">
        <f t="shared" si="6"/>
        <v>-180</v>
      </c>
      <c r="O18" s="178">
        <f>COS(RADIANS(J18))*COS(RADIANS(K18-Insolation!$L$6))*SIN(RADIANS(0))+(SIN(RADIANS(J18))*COS(RADIANS(0)))</f>
        <v>0.94928628289485439</v>
      </c>
      <c r="P18" s="178">
        <f>COS(RADIANS(J18))*COS(RADIANS(K18-K18))*SIN(RADIANS(Insolation!$L$7))+SIN(RADIANS(J18))*COS(RADIANS(Insolation!$L$7))</f>
        <v>0.9608797165578209</v>
      </c>
      <c r="Q18" s="179">
        <f>COS(RADIANS(J18))*COS(RADIANS(K18-K18))*SIN(RADIANS(Insolation!$L$7))+SIN(RADIANS(J18))*COS(RADIANS(Insolation!$L$7))</f>
        <v>0.9608797165578209</v>
      </c>
      <c r="R18" s="181">
        <f t="shared" si="7"/>
        <v>1</v>
      </c>
      <c r="S18" s="40">
        <f t="shared" si="8"/>
        <v>827.56954097268272</v>
      </c>
      <c r="T18" s="40">
        <f>B17*Insolation!$E$13</f>
        <v>117.61777482106234</v>
      </c>
      <c r="U18" s="40">
        <f>Insolation!$L$8*B17*(SIN(RADIANS(J18))+Insolation!$E$13)*((1-COS(RADIANS(0)))/2)</f>
        <v>0</v>
      </c>
      <c r="V18" s="40">
        <f t="shared" si="9"/>
        <v>837.67647367321672</v>
      </c>
      <c r="W18" s="42">
        <f>Insolation!$E$13*PSH!B17*((1+COS(RADIANS(Insolation!$L$7)))/2)</f>
        <v>107.33023101914395</v>
      </c>
      <c r="X18" s="40">
        <f>Insolation!$L$8*B17*((SIN(RADIANS(J18)))+Insolation!$E$13)*((1-COS(RADIANS(Insolation!$L$7)))/2)</f>
        <v>16.534330677550891</v>
      </c>
      <c r="Y18" s="40">
        <f>B17*(COS(RADIANS(Angles!$F$10)))</f>
        <v>810.14264196336023</v>
      </c>
      <c r="Z18" s="40">
        <f>Insolation!$E$13*PSH!B17*((1+COS(RADIANS(90-J18+Angles!$F$10)))/2)</f>
        <v>103.85910881737819</v>
      </c>
      <c r="AA18" s="40">
        <f>Insolation!$L$8*((B17*SIN(RADIANS(J18)))+(Insolation!$E$13*B17))*((1-COS(RADIANS(Insolation!$L$7)))/2)</f>
        <v>16.534330677550887</v>
      </c>
      <c r="AB18" s="40">
        <f t="shared" si="4"/>
        <v>871.78078508519502</v>
      </c>
      <c r="AC18" s="40">
        <f>Insolation!$E$13*B17*((1+COS(RADIANS(90-J18)))/2)</f>
        <v>114.6353575416563</v>
      </c>
      <c r="AD18" s="40">
        <f>Insolation!$L$8*((PSH!B17*SIN(RADIANS(PSH!J18)))+(Insolation!$E$13*PSH!B17))*((1-COS(RADIANS(90-PSH!J18)))/2)</f>
        <v>4.7933962144535913</v>
      </c>
    </row>
    <row r="19" spans="1:30" x14ac:dyDescent="0.15">
      <c r="A19" s="157">
        <f>Graph!A19</f>
        <v>13</v>
      </c>
      <c r="B19" s="40">
        <f>Graph!D19</f>
        <v>866.76394608455882</v>
      </c>
      <c r="C19" s="204">
        <f t="shared" si="0"/>
        <v>431.75152644374975</v>
      </c>
      <c r="D19" s="161"/>
      <c r="E19" s="165">
        <f t="shared" si="1"/>
        <v>431.75152644374975</v>
      </c>
      <c r="F19" s="165">
        <f t="shared" si="2"/>
        <v>5158.3446135565482</v>
      </c>
      <c r="G19" s="38">
        <f t="shared" si="3"/>
        <v>466.28500000000349</v>
      </c>
      <c r="H19" s="38"/>
      <c r="I19" s="157">
        <v>13.5</v>
      </c>
      <c r="J19" s="40">
        <f>Graph!B18</f>
        <v>70.595407628686516</v>
      </c>
      <c r="K19" s="40">
        <f>IF(COS(RADIANS(Graph!H18))&gt;=((TAN(RADIANS(Angles!$F$10)))/(TAN(RADIANS(Time!$P$4)))),L19,IF(A18&lt;12,M19,N19))</f>
        <v>-21.413343221011026</v>
      </c>
      <c r="L19" s="40">
        <f>DEGREES(ASIN(COS(RADIANS(Angles!$F$10))*SIN(RADIANS(Graph!H18))/COS(RADIANS(J19))))</f>
        <v>-21.413343221011026</v>
      </c>
      <c r="M19" s="40">
        <f t="shared" si="5"/>
        <v>201.41334322101102</v>
      </c>
      <c r="N19" s="42">
        <f t="shared" si="6"/>
        <v>-158.58665677898898</v>
      </c>
      <c r="O19" s="178">
        <f>COS(RADIANS(J19))*COS(RADIANS(K19-Insolation!$L$6))*SIN(RADIANS(0))+(SIN(RADIANS(J19))*COS(RADIANS(0)))</f>
        <v>0.94319603153882881</v>
      </c>
      <c r="P19" s="178">
        <f>COS(RADIANS(J19))*COS(RADIANS(K19-K19))*SIN(RADIANS(Insolation!$L$7))+SIN(RADIANS(J19))*COS(RADIANS(Insolation!$L$7))</f>
        <v>0.9659258262890682</v>
      </c>
      <c r="Q19" s="179">
        <f>COS(RADIANS(J19))*COS(RADIANS(K19-K19))*SIN(RADIANS(Insolation!$L$7))+SIN(RADIANS(J19))*COS(RADIANS(Insolation!$L$7))</f>
        <v>0.9659258262890682</v>
      </c>
      <c r="R19" s="181">
        <f t="shared" si="7"/>
        <v>0.99999999999999989</v>
      </c>
      <c r="S19" s="40">
        <f t="shared" si="8"/>
        <v>821.09247620362885</v>
      </c>
      <c r="T19" s="40">
        <f>B18*Insolation!$E$13</f>
        <v>117.4507445340398</v>
      </c>
      <c r="U19" s="40">
        <f>Insolation!$L$8*B18*(SIN(RADIANS(J19))+Insolation!$E$13)*((1-COS(RADIANS(0)))/2)</f>
        <v>0</v>
      </c>
      <c r="V19" s="40">
        <f t="shared" si="9"/>
        <v>840.87973445218734</v>
      </c>
      <c r="W19" s="42">
        <f>Insolation!$E$13*PSH!B18*((1+COS(RADIANS(Insolation!$L$7)))/2)</f>
        <v>107.17781018546812</v>
      </c>
      <c r="X19" s="40">
        <f>Insolation!$L$8*B18*((SIN(RADIANS(J19)))+Insolation!$E$13)*((1-COS(RADIANS(Insolation!$L$7)))/2)</f>
        <v>16.418104335031686</v>
      </c>
      <c r="Y19" s="40">
        <f>B18*(COS(RADIANS(Angles!$F$10)))</f>
        <v>808.99214954652768</v>
      </c>
      <c r="Z19" s="40">
        <f>Insolation!$E$13*PSH!B18*((1+COS(RADIANS(90-J19+Angles!$F$10)))/2)</f>
        <v>102.99266805716644</v>
      </c>
      <c r="AA19" s="40">
        <f>Insolation!$L$8*((B18*SIN(RADIANS(J19)))+(Insolation!$E$13*B18))*((1-COS(RADIANS(Insolation!$L$7)))/2)</f>
        <v>16.418104335031686</v>
      </c>
      <c r="AB19" s="40">
        <f t="shared" si="4"/>
        <v>870.54275966790544</v>
      </c>
      <c r="AC19" s="40">
        <f>Insolation!$E$13*B18*((1+COS(RADIANS(90-J19)))/2)</f>
        <v>114.11491033991346</v>
      </c>
      <c r="AD19" s="40">
        <f>Insolation!$L$8*((PSH!B18*SIN(RADIANS(PSH!J19)))+(Insolation!$E$13*PSH!B18))*((1-COS(RADIANS(90-PSH!J19)))/2)</f>
        <v>5.3312979510228562</v>
      </c>
    </row>
    <row r="20" spans="1:30" x14ac:dyDescent="0.15">
      <c r="A20" s="157">
        <f>Graph!A20</f>
        <v>13.5</v>
      </c>
      <c r="B20" s="40">
        <f>Graph!D20</f>
        <v>860.24215969044008</v>
      </c>
      <c r="C20" s="204">
        <f t="shared" si="0"/>
        <v>427.71354710016732</v>
      </c>
      <c r="D20" s="161"/>
      <c r="E20" s="165">
        <f t="shared" si="1"/>
        <v>427.71354710016732</v>
      </c>
      <c r="F20" s="165"/>
      <c r="G20" s="38">
        <f t="shared" si="3"/>
        <v>463.35999999999331</v>
      </c>
      <c r="H20" s="38"/>
      <c r="I20" s="157">
        <v>14</v>
      </c>
      <c r="J20" s="40">
        <f>Graph!B19</f>
        <v>67.672801248514745</v>
      </c>
      <c r="K20" s="40">
        <f>IF(COS(RADIANS(Graph!H19))&gt;=((TAN(RADIANS(Angles!$F$10)))/(TAN(RADIANS(Time!$P$4)))),L20,IF(A19&lt;12,M20,N20))</f>
        <v>-39.280736262274438</v>
      </c>
      <c r="L20" s="40">
        <f>DEGREES(ASIN(COS(RADIANS(Angles!$F$10))*SIN(RADIANS(Graph!H19))/COS(RADIANS(J20))))</f>
        <v>-39.280736262274438</v>
      </c>
      <c r="M20" s="40">
        <f t="shared" si="5"/>
        <v>219.28073626227444</v>
      </c>
      <c r="N20" s="42">
        <f t="shared" si="6"/>
        <v>-140.71926373772556</v>
      </c>
      <c r="O20" s="178">
        <f>COS(RADIANS(J20))*COS(RADIANS(K20-Insolation!$L$6))*SIN(RADIANS(0))+(SIN(RADIANS(J20))*COS(RADIANS(0)))</f>
        <v>0.92502948335999025</v>
      </c>
      <c r="P20" s="178">
        <f>COS(RADIANS(J20))*COS(RADIANS(K20-K20))*SIN(RADIANS(Insolation!$L$7))+SIN(RADIANS(J20))*COS(RADIANS(Insolation!$L$7))</f>
        <v>0.97786586686126897</v>
      </c>
      <c r="Q20" s="179">
        <f>COS(RADIANS(J20))*COS(RADIANS(K20-K20))*SIN(RADIANS(Insolation!$L$7))+SIN(RADIANS(J20))*COS(RADIANS(Insolation!$L$7))</f>
        <v>0.97786586686126897</v>
      </c>
      <c r="R20" s="181">
        <f t="shared" si="7"/>
        <v>1</v>
      </c>
      <c r="S20" s="40">
        <f t="shared" si="8"/>
        <v>801.78220524166591</v>
      </c>
      <c r="T20" s="40">
        <f>B19*Insolation!$E$13</f>
        <v>116.94091952672056</v>
      </c>
      <c r="U20" s="40">
        <f>Insolation!$L$8*B19*(SIN(RADIANS(J20))+Insolation!$E$13)*((1-COS(RADIANS(0)))/2)</f>
        <v>0</v>
      </c>
      <c r="V20" s="40">
        <f t="shared" si="9"/>
        <v>847.57887750207135</v>
      </c>
      <c r="W20" s="42">
        <f>Insolation!$E$13*PSH!B19*((1+COS(RADIANS(Insolation!$L$7)))/2)</f>
        <v>106.7125774780975</v>
      </c>
      <c r="X20" s="40">
        <f>Insolation!$L$8*B19*((SIN(RADIANS(J20)))+Insolation!$E$13)*((1-COS(RADIANS(Insolation!$L$7)))/2)</f>
        <v>16.071387853186287</v>
      </c>
      <c r="Y20" s="40">
        <f>B19*(COS(RADIANS(Angles!$F$10)))</f>
        <v>805.48051213460622</v>
      </c>
      <c r="Z20" s="40">
        <f>Insolation!$E$13*PSH!B19*((1+COS(RADIANS(90-J20+Angles!$F$10)))/2)</f>
        <v>100.52930109869797</v>
      </c>
      <c r="AA20" s="40">
        <f>Insolation!$L$8*((B19*SIN(RADIANS(J20)))+(Insolation!$E$13*B19))*((1-COS(RADIANS(Insolation!$L$7)))/2)</f>
        <v>16.071387853186287</v>
      </c>
      <c r="AB20" s="40">
        <f t="shared" si="4"/>
        <v>866.76394608455882</v>
      </c>
      <c r="AC20" s="40">
        <f>Insolation!$E$13*B19*((1+COS(RADIANS(90-J20)))/2)</f>
        <v>112.55735895008253</v>
      </c>
      <c r="AD20" s="40">
        <f>Insolation!$L$8*((PSH!B19*SIN(RADIANS(PSH!J20)))+(Insolation!$E$13*PSH!B19))*((1-COS(RADIANS(90-PSH!J20)))/2)</f>
        <v>6.8877147313010081</v>
      </c>
    </row>
    <row r="21" spans="1:30" x14ac:dyDescent="0.15">
      <c r="A21" s="157">
        <f>Graph!A21</f>
        <v>14</v>
      </c>
      <c r="B21" s="40">
        <f>Graph!D21</f>
        <v>850.6120287102292</v>
      </c>
      <c r="C21" s="204">
        <f t="shared" si="0"/>
        <v>421.97684409774729</v>
      </c>
      <c r="D21" s="161"/>
      <c r="E21" s="165">
        <f t="shared" si="1"/>
        <v>421.97684409774729</v>
      </c>
      <c r="F21" s="165">
        <f t="shared" si="2"/>
        <v>5019.208096907947</v>
      </c>
      <c r="G21" s="38">
        <f t="shared" si="3"/>
        <v>456.21249999999782</v>
      </c>
      <c r="H21" s="38"/>
      <c r="I21" s="157">
        <v>14.5</v>
      </c>
      <c r="J21" s="40">
        <f>Graph!B20</f>
        <v>63.520952647447686</v>
      </c>
      <c r="K21" s="40">
        <f>IF(COS(RADIANS(Graph!H20))&gt;=((TAN(RADIANS(Angles!$F$10)))/(TAN(RADIANS(Time!$P$4)))),L21,IF(A20&lt;12,M21,N21))</f>
        <v>-52.901520178593024</v>
      </c>
      <c r="L21" s="40">
        <f>DEGREES(ASIN(COS(RADIANS(Angles!$F$10))*SIN(RADIANS(Graph!H20))/COS(RADIANS(J21))))</f>
        <v>-52.901520178593024</v>
      </c>
      <c r="M21" s="40">
        <f t="shared" si="5"/>
        <v>232.90152017859302</v>
      </c>
      <c r="N21" s="42">
        <f t="shared" si="6"/>
        <v>-127.09847982140698</v>
      </c>
      <c r="O21" s="178">
        <f>COS(RADIANS(J21))*COS(RADIANS(K21-Insolation!$L$6))*SIN(RADIANS(0))+(SIN(RADIANS(J21))*COS(RADIANS(0)))</f>
        <v>0.89509747303439735</v>
      </c>
      <c r="P21" s="178">
        <f>COS(RADIANS(J21))*COS(RADIANS(K21-K21))*SIN(RADIANS(Insolation!$L$7))+SIN(RADIANS(J21))*COS(RADIANS(Insolation!$L$7))</f>
        <v>0.99044808587453714</v>
      </c>
      <c r="Q21" s="179">
        <f>COS(RADIANS(J21))*COS(RADIANS(K21-K21))*SIN(RADIANS(Insolation!$L$7))+SIN(RADIANS(J21))*COS(RADIANS(Insolation!$L$7))</f>
        <v>0.99044808587453714</v>
      </c>
      <c r="R21" s="181">
        <f t="shared" si="7"/>
        <v>1</v>
      </c>
      <c r="S21" s="40">
        <f t="shared" si="8"/>
        <v>770.00058333656546</v>
      </c>
      <c r="T21" s="40">
        <f>B20*Insolation!$E$13</f>
        <v>116.0610217167917</v>
      </c>
      <c r="U21" s="40">
        <f>Insolation!$L$8*B20*(SIN(RADIANS(J21))+Insolation!$E$13)*((1-COS(RADIANS(0)))/2)</f>
        <v>0</v>
      </c>
      <c r="V21" s="40">
        <f t="shared" si="9"/>
        <v>852.02520045397432</v>
      </c>
      <c r="W21" s="42">
        <f>Insolation!$E$13*PSH!B20*((1+COS(RADIANS(Insolation!$L$7)))/2)</f>
        <v>105.90964071656992</v>
      </c>
      <c r="X21" s="40">
        <f>Insolation!$L$8*B20*((SIN(RADIANS(J21)))+Insolation!$E$13)*((1-COS(RADIANS(Insolation!$L$7)))/2)</f>
        <v>15.500034050214298</v>
      </c>
      <c r="Y21" s="40">
        <f>B20*(COS(RADIANS(Angles!$F$10)))</f>
        <v>799.41984028906222</v>
      </c>
      <c r="Z21" s="40">
        <f>Insolation!$E$13*PSH!B20*((1+COS(RADIANS(90-J21+Angles!$F$10)))/2)</f>
        <v>96.744702693255746</v>
      </c>
      <c r="AA21" s="40">
        <f>Insolation!$L$8*((B20*SIN(RADIANS(J21)))+(Insolation!$E$13*B20))*((1-COS(RADIANS(Insolation!$L$7)))/2)</f>
        <v>15.500034050214298</v>
      </c>
      <c r="AB21" s="40">
        <f t="shared" si="4"/>
        <v>860.24215969044008</v>
      </c>
      <c r="AC21" s="40">
        <f>Insolation!$E$13*B20*((1+COS(RADIANS(90-J21)))/2)</f>
        <v>109.97347448664112</v>
      </c>
      <c r="AD21" s="40">
        <f>Insolation!$L$8*((PSH!B20*SIN(RADIANS(PSH!J21)))+(Insolation!$E$13*PSH!B20))*((1-COS(RADIANS(90-PSH!J21)))/2)</f>
        <v>9.295010141729497</v>
      </c>
    </row>
    <row r="22" spans="1:30" x14ac:dyDescent="0.15">
      <c r="A22" s="157">
        <f>Graph!A22</f>
        <v>14.5</v>
      </c>
      <c r="B22" s="40">
        <f>Graph!D22</f>
        <v>837.29534768075985</v>
      </c>
      <c r="C22" s="204">
        <f t="shared" si="0"/>
        <v>414.1775062888596</v>
      </c>
      <c r="D22" s="161"/>
      <c r="E22" s="165">
        <f t="shared" si="1"/>
        <v>414.1775062888596</v>
      </c>
      <c r="F22" s="165"/>
      <c r="G22" s="38">
        <f t="shared" si="3"/>
        <v>444.84250000000611</v>
      </c>
      <c r="H22" s="38"/>
      <c r="I22" s="157">
        <v>15</v>
      </c>
      <c r="J22" s="40">
        <f>Graph!B21</f>
        <v>58.639760317883933</v>
      </c>
      <c r="K22" s="40">
        <f>IF(COS(RADIANS(Graph!H21))&gt;=((TAN(RADIANS(Angles!$F$10)))/(TAN(RADIANS(Time!$P$4)))),L22,IF(A21&lt;12,M22,N22))</f>
        <v>-63.232039853994472</v>
      </c>
      <c r="L22" s="40">
        <f>DEGREES(ASIN(COS(RADIANS(Angles!$F$10))*SIN(RADIANS(Graph!H21))/COS(RADIANS(J22))))</f>
        <v>-63.232039853994472</v>
      </c>
      <c r="M22" s="40">
        <f t="shared" si="5"/>
        <v>243.23203985399448</v>
      </c>
      <c r="N22" s="42">
        <f t="shared" si="6"/>
        <v>-116.76796014600552</v>
      </c>
      <c r="O22" s="178">
        <f>COS(RADIANS(J22))*COS(RADIANS(K22-Insolation!$L$6))*SIN(RADIANS(0))+(SIN(RADIANS(J22))*COS(RADIANS(0)))</f>
        <v>0.85391214555744221</v>
      </c>
      <c r="P22" s="178">
        <f>COS(RADIANS(J22))*COS(RADIANS(K22-K22))*SIN(RADIANS(Insolation!$L$7))+SIN(RADIANS(J22))*COS(RADIANS(Insolation!$L$7))</f>
        <v>0.99858872226575857</v>
      </c>
      <c r="Q22" s="179">
        <f>COS(RADIANS(J22))*COS(RADIANS(K22-K22))*SIN(RADIANS(Insolation!$L$7))+SIN(RADIANS(J22))*COS(RADIANS(Insolation!$L$7))</f>
        <v>0.99858872226575857</v>
      </c>
      <c r="R22" s="181">
        <f t="shared" si="7"/>
        <v>1</v>
      </c>
      <c r="S22" s="40">
        <f t="shared" si="8"/>
        <v>726.34794247292041</v>
      </c>
      <c r="T22" s="40">
        <f>B21*Insolation!$E$13</f>
        <v>114.76175635501031</v>
      </c>
      <c r="U22" s="40">
        <f>Insolation!$L$8*B21*(SIN(RADIANS(J22))+Insolation!$E$13)*((1-COS(RADIANS(0)))/2)</f>
        <v>0</v>
      </c>
      <c r="V22" s="40">
        <f t="shared" si="9"/>
        <v>849.41157889363251</v>
      </c>
      <c r="W22" s="42">
        <f>Insolation!$E$13*PSH!B21*((1+COS(RADIANS(Insolation!$L$7)))/2)</f>
        <v>104.72401676094483</v>
      </c>
      <c r="X22" s="40">
        <f>Insolation!$L$8*B21*((SIN(RADIANS(J22)))+Insolation!$E$13)*((1-COS(RADIANS(Insolation!$L$7)))/2)</f>
        <v>14.713682318977517</v>
      </c>
      <c r="Y22" s="40">
        <f>B21*(COS(RADIANS(Angles!$F$10)))</f>
        <v>790.47059537768371</v>
      </c>
      <c r="Z22" s="40">
        <f>Insolation!$E$13*PSH!B21*((1+COS(RADIANS(90-J22+Angles!$F$10)))/2)</f>
        <v>91.885666839073892</v>
      </c>
      <c r="AA22" s="40">
        <f>Insolation!$L$8*((B21*SIN(RADIANS(J22)))+(Insolation!$E$13*B21))*((1-COS(RADIANS(Insolation!$L$7)))/2)</f>
        <v>14.713682318977517</v>
      </c>
      <c r="AB22" s="40">
        <f t="shared" si="4"/>
        <v>850.6120287102292</v>
      </c>
      <c r="AC22" s="40">
        <f>Insolation!$E$13*B21*((1+COS(RADIANS(90-J22)))/2)</f>
        <v>106.37910697602879</v>
      </c>
      <c r="AD22" s="40">
        <f>Insolation!$L$8*((PSH!B21*SIN(RADIANS(PSH!J22)))+(Insolation!$E$13*PSH!B21))*((1-COS(RADIANS(90-PSH!J22)))/2)</f>
        <v>12.287591125259828</v>
      </c>
    </row>
    <row r="23" spans="1:30" x14ac:dyDescent="0.15">
      <c r="A23" s="157">
        <f>Graph!A23</f>
        <v>15</v>
      </c>
      <c r="B23" s="40">
        <f>Graph!D23</f>
        <v>819.41467747467846</v>
      </c>
      <c r="C23" s="204">
        <f t="shared" si="0"/>
        <v>403.76495913896235</v>
      </c>
      <c r="D23" s="161"/>
      <c r="E23" s="165">
        <f t="shared" si="1"/>
        <v>403.76495913896235</v>
      </c>
      <c r="F23" s="165">
        <f t="shared" si="2"/>
        <v>4765.9506301489473</v>
      </c>
      <c r="G23" s="38">
        <f t="shared" si="3"/>
        <v>429.25</v>
      </c>
      <c r="H23" s="38"/>
      <c r="I23" s="157">
        <v>15.5</v>
      </c>
      <c r="J23" s="40">
        <f>Graph!B22</f>
        <v>53.338610815998862</v>
      </c>
      <c r="K23" s="40">
        <f>IF(COS(RADIANS(Graph!H22))&gt;=((TAN(RADIANS(Angles!$F$10)))/(TAN(RADIANS(Time!$P$4)))),L23,IF(A22&lt;12,M23,N23))</f>
        <v>-71.34643563701313</v>
      </c>
      <c r="L23" s="40">
        <f>DEGREES(ASIN(COS(RADIANS(Angles!$F$10))*SIN(RADIANS(Graph!H22))/COS(RADIANS(J23))))</f>
        <v>-71.34643563701313</v>
      </c>
      <c r="M23" s="40">
        <f t="shared" si="5"/>
        <v>251.34643563701314</v>
      </c>
      <c r="N23" s="42">
        <f t="shared" si="6"/>
        <v>-108.65356436298686</v>
      </c>
      <c r="O23" s="178">
        <f>COS(RADIANS(J23))*COS(RADIANS(K23-Insolation!$L$6))*SIN(RADIANS(0))+(SIN(RADIANS(J23))*COS(RADIANS(0)))</f>
        <v>0.80217819330098539</v>
      </c>
      <c r="P23" s="178">
        <f>COS(RADIANS(J23))*COS(RADIANS(K23-K23))*SIN(RADIANS(Insolation!$L$7))+SIN(RADIANS(J23))*COS(RADIANS(Insolation!$L$7))</f>
        <v>0.99922437194526104</v>
      </c>
      <c r="Q23" s="179">
        <f>COS(RADIANS(J23))*COS(RADIANS(K23-K23))*SIN(RADIANS(Insolation!$L$7))+SIN(RADIANS(J23))*COS(RADIANS(Insolation!$L$7))</f>
        <v>0.99922437194526104</v>
      </c>
      <c r="R23" s="181">
        <f t="shared" si="7"/>
        <v>1</v>
      </c>
      <c r="S23" s="40">
        <f t="shared" si="8"/>
        <v>671.66006926187231</v>
      </c>
      <c r="T23" s="40">
        <f>B22*Insolation!$E$13</f>
        <v>112.9651138762076</v>
      </c>
      <c r="U23" s="40">
        <f>Insolation!$L$8*B22*(SIN(RADIANS(J23))+Insolation!$E$13)*((1-COS(RADIANS(0)))/2)</f>
        <v>0</v>
      </c>
      <c r="V23" s="40">
        <f t="shared" si="9"/>
        <v>836.64591791899625</v>
      </c>
      <c r="W23" s="42">
        <f>Insolation!$E$13*PSH!B22*((1+COS(RADIANS(Insolation!$L$7)))/2)</f>
        <v>103.08451922239618</v>
      </c>
      <c r="X23" s="40">
        <f>Insolation!$L$8*B22*((SIN(RADIANS(J23)))+Insolation!$E$13)*((1-COS(RADIANS(Insolation!$L$7)))/2)</f>
        <v>13.725588588801916</v>
      </c>
      <c r="Y23" s="40">
        <f>B22*(COS(RADIANS(Angles!$F$10)))</f>
        <v>778.09545321354051</v>
      </c>
      <c r="Z23" s="40">
        <f>Insolation!$E$13*PSH!B22*((1+COS(RADIANS(90-J23+Angles!$F$10)))/2)</f>
        <v>86.132333511342907</v>
      </c>
      <c r="AA23" s="40">
        <f>Insolation!$L$8*((B22*SIN(RADIANS(J23)))+(Insolation!$E$13*B22))*((1-COS(RADIANS(Insolation!$L$7)))/2)</f>
        <v>13.725588588801916</v>
      </c>
      <c r="AB23" s="40">
        <f t="shared" si="4"/>
        <v>837.29534768075985</v>
      </c>
      <c r="AC23" s="40">
        <f>Insolation!$E$13*B22*((1+COS(RADIANS(90-J23)))/2)</f>
        <v>101.79163241573194</v>
      </c>
      <c r="AD23" s="40">
        <f>Insolation!$L$8*((PSH!B22*SIN(RADIANS(PSH!J23)))+(Insolation!$E$13*PSH!B22))*((1-COS(RADIANS(90-PSH!J23)))/2)</f>
        <v>15.521597130992021</v>
      </c>
    </row>
    <row r="24" spans="1:30" x14ac:dyDescent="0.15">
      <c r="A24" s="157">
        <f>Graph!A24</f>
        <v>15.5</v>
      </c>
      <c r="B24" s="40">
        <f>Graph!D24</f>
        <v>795.64515908117096</v>
      </c>
      <c r="C24" s="204">
        <f t="shared" si="0"/>
        <v>389.90011885768888</v>
      </c>
      <c r="D24" s="161"/>
      <c r="E24" s="165">
        <f t="shared" si="1"/>
        <v>389.90011885768888</v>
      </c>
      <c r="F24" s="165"/>
      <c r="G24" s="38">
        <f t="shared" si="3"/>
        <v>409.43499999999403</v>
      </c>
      <c r="H24" s="38"/>
      <c r="I24" s="157">
        <v>16</v>
      </c>
      <c r="J24" s="40">
        <f>Graph!B23</f>
        <v>47.797970161517192</v>
      </c>
      <c r="K24" s="40">
        <f>IF(COS(RADIANS(Graph!H23))&gt;=((TAN(RADIANS(Angles!$F$10)))/(TAN(RADIANS(Time!$P$4)))),L24,IF(A23&lt;12,M24,N24))</f>
        <v>-78.018125103721246</v>
      </c>
      <c r="L24" s="40">
        <f>DEGREES(ASIN(COS(RADIANS(Angles!$F$10))*SIN(RADIANS(Graph!H23))/COS(RADIANS(J24))))</f>
        <v>-78.018125103721246</v>
      </c>
      <c r="M24" s="40">
        <f t="shared" si="5"/>
        <v>258.01812510372122</v>
      </c>
      <c r="N24" s="42">
        <f t="shared" si="6"/>
        <v>-101.98187489627878</v>
      </c>
      <c r="O24" s="178">
        <f>COS(RADIANS(J24))*COS(RADIANS(K24-Insolation!$L$6))*SIN(RADIANS(0))+(SIN(RADIANS(J24))*COS(RADIANS(0)))</f>
        <v>0.74078079853149625</v>
      </c>
      <c r="P24" s="178">
        <f>COS(RADIANS(J24))*COS(RADIANS(K24-K24))*SIN(RADIANS(Insolation!$L$7))+SIN(RADIANS(J24))*COS(RADIANS(Insolation!$L$7))</f>
        <v>0.99075390931000129</v>
      </c>
      <c r="Q24" s="179">
        <f>COS(RADIANS(J24))*COS(RADIANS(K24-K24))*SIN(RADIANS(Insolation!$L$7))+SIN(RADIANS(J24))*COS(RADIANS(Insolation!$L$7))</f>
        <v>0.99075390931000129</v>
      </c>
      <c r="R24" s="181">
        <f t="shared" si="7"/>
        <v>1</v>
      </c>
      <c r="S24" s="40">
        <f t="shared" si="8"/>
        <v>607.00665910812074</v>
      </c>
      <c r="T24" s="40">
        <f>B23*Insolation!$E$13</f>
        <v>110.55271310077293</v>
      </c>
      <c r="U24" s="40">
        <f>Insolation!$L$8*B23*(SIN(RADIANS(J24))+Insolation!$E$13)*((1-COS(RADIANS(0)))/2)</f>
        <v>0</v>
      </c>
      <c r="V24" s="40">
        <f t="shared" si="9"/>
        <v>811.83829505403151</v>
      </c>
      <c r="W24" s="42">
        <f>Insolation!$E$13*PSH!B23*((1+COS(RADIANS(Insolation!$L$7)))/2)</f>
        <v>100.88312123699748</v>
      </c>
      <c r="X24" s="40">
        <f>Insolation!$L$8*B23*((SIN(RADIANS(J24)))+Insolation!$E$13)*((1-COS(RADIANS(Insolation!$L$7)))/2)</f>
        <v>12.552394369484601</v>
      </c>
      <c r="Y24" s="40">
        <f>B23*(COS(RADIANS(Angles!$F$10)))</f>
        <v>761.47901287823925</v>
      </c>
      <c r="Z24" s="40">
        <f>Insolation!$E$13*PSH!B23*((1+COS(RADIANS(90-J24+Angles!$F$10)))/2)</f>
        <v>79.614821186482644</v>
      </c>
      <c r="AA24" s="40">
        <f>Insolation!$L$8*((B23*SIN(RADIANS(J24)))+(Insolation!$E$13*B23))*((1-COS(RADIANS(Insolation!$L$7)))/2)</f>
        <v>12.552394369484601</v>
      </c>
      <c r="AB24" s="40">
        <f t="shared" si="4"/>
        <v>819.41467747467846</v>
      </c>
      <c r="AC24" s="40">
        <f>Insolation!$E$13*B23*((1+COS(RADIANS(90-J24)))/2)</f>
        <v>96.224020095693476</v>
      </c>
      <c r="AD24" s="40">
        <f>Insolation!$L$8*((PSH!B23*SIN(RADIANS(PSH!J24)))+(Insolation!$E$13*PSH!B23))*((1-COS(RADIANS(90-PSH!J24)))/2)</f>
        <v>18.600516747023022</v>
      </c>
    </row>
    <row r="25" spans="1:30" x14ac:dyDescent="0.15">
      <c r="A25" s="157">
        <f>Graph!A25</f>
        <v>16</v>
      </c>
      <c r="B25" s="40">
        <f>Graph!D25</f>
        <v>763.95531634958468</v>
      </c>
      <c r="C25" s="204">
        <f t="shared" si="0"/>
        <v>371.27299888228583</v>
      </c>
      <c r="D25" s="161"/>
      <c r="E25" s="165">
        <f t="shared" si="1"/>
        <v>371.27299888228583</v>
      </c>
      <c r="F25" s="165">
        <f>B25+4*B26+B27</f>
        <v>4310.4129147367312</v>
      </c>
      <c r="G25" s="38">
        <f t="shared" si="3"/>
        <v>385.39750000000276</v>
      </c>
      <c r="H25" s="38"/>
      <c r="I25" s="157">
        <v>16.5</v>
      </c>
      <c r="J25" s="40">
        <f>Graph!B24</f>
        <v>42.126559294713232</v>
      </c>
      <c r="K25" s="40">
        <f>IF(COS(RADIANS(Graph!H24))&gt;=((TAN(RADIANS(Angles!$F$10)))/(TAN(RADIANS(Time!$P$4)))),L25,IF(A24&lt;12,M25,N25))</f>
        <v>-83.752504032486954</v>
      </c>
      <c r="L25" s="40">
        <f>DEGREES(ASIN(COS(RADIANS(Angles!$F$10))*SIN(RADIANS(Graph!H24))/COS(RADIANS(J25))))</f>
        <v>-83.752504032486954</v>
      </c>
      <c r="M25" s="40">
        <f t="shared" si="5"/>
        <v>263.75250403248697</v>
      </c>
      <c r="N25" s="42">
        <f t="shared" si="6"/>
        <v>-96.247495967513032</v>
      </c>
      <c r="O25" s="178">
        <f>COS(RADIANS(J25))*COS(RADIANS(K25-Insolation!$L$6))*SIN(RADIANS(0))+(SIN(RADIANS(J25))*COS(RADIANS(0)))</f>
        <v>0.67077048769605474</v>
      </c>
      <c r="P25" s="178">
        <f>COS(RADIANS(J25))*COS(RADIANS(K25-K25))*SIN(RADIANS(Insolation!$L$7))+SIN(RADIANS(J25))*COS(RADIANS(Insolation!$L$7))</f>
        <v>0.97249670071437955</v>
      </c>
      <c r="Q25" s="179">
        <f>COS(RADIANS(J25))*COS(RADIANS(K25-K25))*SIN(RADIANS(Insolation!$L$7))+SIN(RADIANS(J25))*COS(RADIANS(Insolation!$L$7))</f>
        <v>0.97249670071437955</v>
      </c>
      <c r="R25" s="181">
        <f t="shared" si="7"/>
        <v>1</v>
      </c>
      <c r="S25" s="40">
        <f t="shared" si="8"/>
        <v>533.69529138988207</v>
      </c>
      <c r="T25" s="40">
        <f>B24*Insolation!$E$13</f>
        <v>107.34580844097425</v>
      </c>
      <c r="U25" s="40">
        <f>Insolation!$L$8*B24*(SIN(RADIANS(J25))+Insolation!$E$13)*((1-COS(RADIANS(0)))/2)</f>
        <v>0</v>
      </c>
      <c r="V25" s="40">
        <f t="shared" si="9"/>
        <v>773.76229214580644</v>
      </c>
      <c r="W25" s="42">
        <f>Insolation!$E$13*PSH!B24*((1+COS(RADIANS(Insolation!$L$7)))/2)</f>
        <v>97.95671135961112</v>
      </c>
      <c r="X25" s="40">
        <f>Insolation!$L$8*B24*((SIN(RADIANS(J25)))+Insolation!$E$13)*((1-COS(RADIANS(Insolation!$L$7)))/2)</f>
        <v>11.213846552313658</v>
      </c>
      <c r="Y25" s="40">
        <f>B24*(COS(RADIANS(Angles!$F$10)))</f>
        <v>739.39008781936559</v>
      </c>
      <c r="Z25" s="40">
        <f>Insolation!$E$13*PSH!B24*((1+COS(RADIANS(90-J25+Angles!$F$10)))/2)</f>
        <v>72.42737645171772</v>
      </c>
      <c r="AA25" s="40">
        <f>Insolation!$L$8*((B24*SIN(RADIANS(J25)))+(Insolation!$E$13*B24))*((1-COS(RADIANS(Insolation!$L$7)))/2)</f>
        <v>11.213846552313658</v>
      </c>
      <c r="AB25" s="40">
        <f t="shared" si="4"/>
        <v>795.64515908117096</v>
      </c>
      <c r="AC25" s="40">
        <f>Insolation!$E$13*B24*((1+COS(RADIANS(90-J25)))/2)</f>
        <v>89.675104360526916</v>
      </c>
      <c r="AD25" s="40">
        <f>Insolation!$L$8*((PSH!B24*SIN(RADIANS(PSH!J25)))+(Insolation!$E$13*PSH!B24))*((1-COS(RADIANS(90-PSH!J25)))/2)</f>
        <v>21.104964866409745</v>
      </c>
    </row>
    <row r="26" spans="1:30" x14ac:dyDescent="0.15">
      <c r="A26" s="157">
        <f>Graph!A26</f>
        <v>16.5</v>
      </c>
      <c r="B26" s="40">
        <f>Graph!D26</f>
        <v>721.13667917955854</v>
      </c>
      <c r="C26" s="204">
        <f t="shared" si="0"/>
        <v>345.76189021211758</v>
      </c>
      <c r="D26" s="161"/>
      <c r="E26" s="162">
        <f t="shared" si="1"/>
        <v>345.76189021211758</v>
      </c>
      <c r="F26" s="162"/>
      <c r="G26" s="38">
        <f t="shared" si="3"/>
        <v>357.13749999999709</v>
      </c>
      <c r="H26" s="38"/>
      <c r="I26" s="157">
        <v>17</v>
      </c>
      <c r="J26" s="40">
        <f>Graph!B25</f>
        <v>36.394751762200009</v>
      </c>
      <c r="K26" s="40">
        <f>IF(COS(RADIANS(Graph!H25))&gt;=((TAN(RADIANS(Angles!$F$10)))/(TAN(RADIANS(Time!$P$4)))),L26,IF(A25&lt;12,M26,N26))</f>
        <v>-88.879352942611533</v>
      </c>
      <c r="L26" s="40">
        <f>DEGREES(ASIN(COS(RADIANS(Angles!$F$10))*SIN(RADIANS(Graph!H25))/COS(RADIANS(J26))))</f>
        <v>-88.879352942611533</v>
      </c>
      <c r="M26" s="40">
        <f t="shared" si="5"/>
        <v>268.87935294261155</v>
      </c>
      <c r="N26" s="42">
        <f t="shared" si="6"/>
        <v>-91.120647057388453</v>
      </c>
      <c r="O26" s="178">
        <f>COS(RADIANS(J26))*COS(RADIANS(K26-Insolation!$L$6))*SIN(RADIANS(0))+(SIN(RADIANS(J26))*COS(RADIANS(0)))</f>
        <v>0.59334515662358034</v>
      </c>
      <c r="P26" s="178">
        <f>COS(RADIANS(J26))*COS(RADIANS(K26-K26))*SIN(RADIANS(Insolation!$L$7))+SIN(RADIANS(J26))*COS(RADIANS(Insolation!$L$7))</f>
        <v>0.94437260562935443</v>
      </c>
      <c r="Q26" s="179">
        <f>COS(RADIANS(J26))*COS(RADIANS(K26-K26))*SIN(RADIANS(Insolation!$L$7))+SIN(RADIANS(J26))*COS(RADIANS(Insolation!$L$7))</f>
        <v>0.94437260562935443</v>
      </c>
      <c r="R26" s="181">
        <f t="shared" si="7"/>
        <v>1</v>
      </c>
      <c r="S26" s="40">
        <f t="shared" si="8"/>
        <v>453.28918683286116</v>
      </c>
      <c r="T26" s="40">
        <f>B25*Insolation!$E$13</f>
        <v>103.07031986599455</v>
      </c>
      <c r="U26" s="40">
        <f>Insolation!$L$8*B25*(SIN(RADIANS(J26))+Insolation!$E$13)*((1-COS(RADIANS(0)))/2)</f>
        <v>0</v>
      </c>
      <c r="V26" s="40">
        <f>IF(P26&lt;0,0,B25*P26)</f>
        <v>721.45847268545504</v>
      </c>
      <c r="W26" s="42">
        <f>Insolation!$E$13*PSH!B25*((1+COS(RADIANS(Insolation!$L$7)))/2)</f>
        <v>94.055182214289218</v>
      </c>
      <c r="X26" s="40">
        <f>Insolation!$L$8*B25*((SIN(RADIANS(J26)))+Insolation!$E$13)*((1-COS(RADIANS(Insolation!$L$7)))/2)</f>
        <v>9.7324963059124929</v>
      </c>
      <c r="Y26" s="40">
        <f>B25*(COS(RADIANS(Angles!$F$10)))</f>
        <v>709.94083480392806</v>
      </c>
      <c r="Z26" s="40">
        <f>Insolation!$E$13*PSH!B25*((1+COS(RADIANS(90-J26+Angles!$F$10)))/2)</f>
        <v>64.630132588837256</v>
      </c>
      <c r="AA26" s="40">
        <f>Insolation!$L$8*((B25*SIN(RADIANS(J26)))+(Insolation!$E$13*B25))*((1-COS(RADIANS(Insolation!$L$7)))/2)</f>
        <v>9.7324963059124929</v>
      </c>
      <c r="AB26" s="40">
        <f t="shared" si="4"/>
        <v>763.95531634958468</v>
      </c>
      <c r="AC26" s="40">
        <f>Insolation!$E$13*B25*((1+COS(RADIANS(90-J26)))/2)</f>
        <v>82.113297475062808</v>
      </c>
      <c r="AD26" s="40">
        <f>Insolation!$L$8*((PSH!B25*SIN(RADIANS(PSH!J26)))+(Insolation!$E$13*PSH!B25))*((1-COS(RADIANS(90-PSH!J26)))/2)</f>
        <v>22.62462880576053</v>
      </c>
    </row>
    <row r="27" spans="1:30" x14ac:dyDescent="0.15">
      <c r="A27" s="157">
        <f>Graph!A27</f>
        <v>17</v>
      </c>
      <c r="B27" s="40">
        <f>Graph!D27</f>
        <v>661.91088166891188</v>
      </c>
      <c r="C27" s="204">
        <f t="shared" si="0"/>
        <v>309.76978829370239</v>
      </c>
      <c r="D27" s="161"/>
      <c r="E27" s="162">
        <f t="shared" si="1"/>
        <v>309.76978829370239</v>
      </c>
      <c r="F27" s="162">
        <f t="shared" si="2"/>
        <v>3421.1830284422185</v>
      </c>
      <c r="G27" s="38">
        <f t="shared" si="3"/>
        <v>324.65500000000611</v>
      </c>
      <c r="H27" s="38"/>
      <c r="I27" s="157">
        <v>17.5</v>
      </c>
      <c r="J27" s="40">
        <f>Graph!B26</f>
        <v>30.652478432782889</v>
      </c>
      <c r="K27" s="40">
        <f>IF(COS(RADIANS(Graph!H26))&gt;=((TAN(RADIANS(Angles!$F$10)))/(TAN(RADIANS(Time!$P$4)))),L27,IF(A26&lt;12,M27,N27))</f>
        <v>-93.621207565703799</v>
      </c>
      <c r="L27" s="40">
        <f>DEGREES(ASIN(COS(RADIANS(Angles!$F$10))*SIN(RADIANS(Graph!H26))/COS(RADIANS(J27))))</f>
        <v>-86.378792434296216</v>
      </c>
      <c r="M27" s="40">
        <f t="shared" si="5"/>
        <v>266.3787924342962</v>
      </c>
      <c r="N27" s="42">
        <f t="shared" si="6"/>
        <v>-93.621207565703799</v>
      </c>
      <c r="O27" s="178">
        <f>COS(RADIANS(J27))*COS(RADIANS(K27-Insolation!$L$6))*SIN(RADIANS(0))+(SIN(RADIANS(J27))*COS(RADIANS(0)))</f>
        <v>0.50982957419508024</v>
      </c>
      <c r="P27" s="178">
        <f>COS(RADIANS(J27))*COS(RADIANS(K27-K27))*SIN(RADIANS(Insolation!$L$7))+SIN(RADIANS(J27))*COS(RADIANS(Insolation!$L$7))</f>
        <v>0.90672829618990658</v>
      </c>
      <c r="Q27" s="179">
        <f>COS(RADIANS(J27))*COS(RADIANS(K27-K27))*SIN(RADIANS(Insolation!$L$7))+SIN(RADIANS(J27))*COS(RADIANS(Insolation!$L$7))</f>
        <v>0.90672829618990658</v>
      </c>
      <c r="R27" s="181">
        <f t="shared" si="7"/>
        <v>1</v>
      </c>
      <c r="S27" s="40">
        <f t="shared" si="8"/>
        <v>367.65680608256849</v>
      </c>
      <c r="T27" s="40">
        <f>B26*Insolation!$E$13</f>
        <v>97.293371221368545</v>
      </c>
      <c r="U27" s="40">
        <f>Insolation!$L$8*B26*(SIN(RADIANS(J27))+Insolation!$E$13)*((1-COS(RADIANS(0)))/2)</f>
        <v>0</v>
      </c>
      <c r="V27" s="40">
        <f>IF(P27&lt;0,0,B26*P27)</f>
        <v>653.87503243252843</v>
      </c>
      <c r="W27" s="42">
        <f>Insolation!$E$13*PSH!B26*((1+COS(RADIANS(Insolation!$L$7)))/2)</f>
        <v>88.783519546323106</v>
      </c>
      <c r="X27" s="40">
        <f>Insolation!$L$8*B26*((SIN(RADIANS(J27)))+Insolation!$E$13)*((1-COS(RADIANS(Insolation!$L$7)))/2)</f>
        <v>8.1334565664090821</v>
      </c>
      <c r="Y27" s="40">
        <f>B26*(COS(RADIANS(Angles!$F$10)))</f>
        <v>670.14963449798699</v>
      </c>
      <c r="Z27" s="40">
        <f>Insolation!$E$13*PSH!B26*((1+COS(RADIANS(90-J27+Angles!$F$10)))/2)</f>
        <v>56.238137699037495</v>
      </c>
      <c r="AA27" s="40">
        <f>Insolation!$L$8*((B26*SIN(RADIANS(J27)))+(Insolation!$E$13*B26))*((1-COS(RADIANS(Insolation!$L$7)))/2)</f>
        <v>8.1334565664090821</v>
      </c>
      <c r="AB27" s="40">
        <f t="shared" si="4"/>
        <v>721.13667917955854</v>
      </c>
      <c r="AC27" s="40">
        <f>Insolation!$E$13*B26*((1+COS(RADIANS(90-J27)))/2)</f>
        <v>73.448204621581368</v>
      </c>
      <c r="AD27" s="40">
        <f>Insolation!$L$8*((PSH!B26*SIN(RADIANS(PSH!J27)))+(Insolation!$E$13*PSH!B26))*((1-COS(RADIANS(90-PSH!J27)))/2)</f>
        <v>22.790482638714373</v>
      </c>
    </row>
    <row r="28" spans="1:30" x14ac:dyDescent="0.15">
      <c r="A28" s="157">
        <f>Graph!A28</f>
        <v>17.5</v>
      </c>
      <c r="B28" s="40">
        <f>Graph!D28</f>
        <v>577.16827150589779</v>
      </c>
      <c r="C28" s="204">
        <f t="shared" si="0"/>
        <v>256.94183306390335</v>
      </c>
      <c r="D28" s="161"/>
      <c r="E28" s="162">
        <f t="shared" si="1"/>
        <v>256.94183306390335</v>
      </c>
      <c r="F28" s="162"/>
      <c r="G28" s="38">
        <f t="shared" si="3"/>
        <v>287.94999999999709</v>
      </c>
      <c r="H28" s="38"/>
      <c r="I28" s="157">
        <v>18</v>
      </c>
      <c r="J28" s="40">
        <f>Graph!B27</f>
        <v>24.938974353617681</v>
      </c>
      <c r="K28" s="40">
        <f>IF(COS(RADIANS(Graph!H27))&gt;=((TAN(RADIANS(Angles!$F$10)))/(TAN(RADIANS(Time!$P$4)))),L28,IF(A27&lt;12,M28,N28))</f>
        <v>-98.13579855674169</v>
      </c>
      <c r="L28" s="40">
        <f>DEGREES(ASIN(COS(RADIANS(Angles!$F$10))*SIN(RADIANS(Graph!H27))/COS(RADIANS(J28))))</f>
        <v>-81.864201443258295</v>
      </c>
      <c r="M28" s="40">
        <f t="shared" si="5"/>
        <v>261.86420144325831</v>
      </c>
      <c r="N28" s="42">
        <f t="shared" si="6"/>
        <v>-98.13579855674169</v>
      </c>
      <c r="O28" s="178">
        <f>COS(RADIANS(J28))*COS(RADIANS(K28-Insolation!$L$6))*SIN(RADIANS(0))+(SIN(RADIANS(J28))*COS(RADIANS(0)))</f>
        <v>0.4216527151808</v>
      </c>
      <c r="P28" s="178">
        <f>COS(RADIANS(J28))*COS(RADIANS(K28-K28))*SIN(RADIANS(Insolation!$L$7))+SIN(RADIANS(J28))*COS(RADIANS(Insolation!$L$7))</f>
        <v>0.86024023103448799</v>
      </c>
      <c r="Q28" s="179">
        <f>COS(RADIANS(J28))*COS(RADIANS(K28-K28))*SIN(RADIANS(Insolation!$L$7))+SIN(RADIANS(J28))*COS(RADIANS(Insolation!$L$7))</f>
        <v>0.86024023103448799</v>
      </c>
      <c r="R28" s="181">
        <f t="shared" si="7"/>
        <v>1</v>
      </c>
      <c r="S28" s="40">
        <f t="shared" si="8"/>
        <v>279.09652046341392</v>
      </c>
      <c r="T28" s="40">
        <f>B27*Insolation!$E$13</f>
        <v>89.302822869784592</v>
      </c>
      <c r="U28" s="40">
        <f>Insolation!$L$8*B27*(SIN(RADIANS(J28))+Insolation!$E$13)*((1-COS(RADIANS(0)))/2)</f>
        <v>0</v>
      </c>
      <c r="V28" s="40">
        <f t="shared" ref="V28:V33" si="10">IF(P28&lt;0,0,B27*P28)</f>
        <v>569.40236977110635</v>
      </c>
      <c r="W28" s="42">
        <f>Insolation!$E$13*PSH!B27*((1+COS(RADIANS(Insolation!$L$7)))/2)</f>
        <v>81.491871648291578</v>
      </c>
      <c r="X28" s="40">
        <f>Insolation!$L$8*B27*((SIN(RADIANS(J28)))+Insolation!$E$13)*((1-COS(RADIANS(Insolation!$L$7)))/2)</f>
        <v>6.4444755682617645</v>
      </c>
      <c r="Y28" s="40">
        <f>B27*(COS(RADIANS(Angles!$F$10)))</f>
        <v>615.11132109564096</v>
      </c>
      <c r="Z28" s="40">
        <f>Insolation!$E$13*PSH!B27*((1+COS(RADIANS(90-J28+Angles!$F$10)))/2)</f>
        <v>47.193994892740655</v>
      </c>
      <c r="AA28" s="40">
        <f>Insolation!$L$8*((B27*SIN(RADIANS(J28)))+(Insolation!$E$13*B27))*((1-COS(RADIANS(Insolation!$L$7)))/2)</f>
        <v>6.4444755682617645</v>
      </c>
      <c r="AB28" s="40">
        <f t="shared" si="4"/>
        <v>661.91088166891188</v>
      </c>
      <c r="AC28" s="40">
        <f>Insolation!$E$13*B27*((1+COS(RADIANS(90-J28)))/2)</f>
        <v>63.478800303069654</v>
      </c>
      <c r="AD28" s="40">
        <f>Insolation!$L$8*((PSH!B27*SIN(RADIANS(PSH!J28)))+(Insolation!$E$13*PSH!B27))*((1-COS(RADIANS(90-PSH!J28)))/2)</f>
        <v>21.306275994593161</v>
      </c>
    </row>
    <row r="29" spans="1:30" x14ac:dyDescent="0.15">
      <c r="A29" s="157">
        <f>Graph!A29</f>
        <v>18</v>
      </c>
      <c r="B29" s="40">
        <f>Graph!D29</f>
        <v>450.59906074971565</v>
      </c>
      <c r="C29" s="204">
        <f t="shared" si="0"/>
        <v>176.61356920671079</v>
      </c>
      <c r="D29" s="161"/>
      <c r="E29" s="162">
        <f t="shared" si="1"/>
        <v>176.61356920671079</v>
      </c>
      <c r="F29" s="162">
        <f t="shared" si="2"/>
        <v>1495.3501766621544</v>
      </c>
      <c r="G29" s="38">
        <f t="shared" si="3"/>
        <v>247.02249999999913</v>
      </c>
      <c r="H29" s="38"/>
      <c r="I29" s="157">
        <v>18.5</v>
      </c>
      <c r="J29" s="40">
        <f>Graph!B28</f>
        <v>19.288400265904052</v>
      </c>
      <c r="K29" s="40">
        <f>IF(COS(RADIANS(Graph!H28))&gt;=((TAN(RADIANS(Angles!$F$10)))/(TAN(RADIANS(Time!$P$4)))),L29,IF(A28&lt;12,M29,N29))</f>
        <v>-102.54154881848103</v>
      </c>
      <c r="L29" s="40">
        <f>DEGREES(ASIN(COS(RADIANS(Angles!$F$10))*SIN(RADIANS(Graph!H28))/COS(RADIANS(J29))))</f>
        <v>-77.458451181518939</v>
      </c>
      <c r="M29" s="40">
        <f t="shared" si="5"/>
        <v>257.45845118151897</v>
      </c>
      <c r="N29" s="42">
        <f t="shared" si="6"/>
        <v>-102.54154881848103</v>
      </c>
      <c r="O29" s="178">
        <f>COS(RADIANS(J29))*COS(RADIANS(K29-Insolation!$L$6))*SIN(RADIANS(0))+(SIN(RADIANS(J29))*COS(RADIANS(0)))</f>
        <v>0.33032331008571819</v>
      </c>
      <c r="P29" s="178">
        <f>COS(RADIANS(J29))*COS(RADIANS(K29-K29))*SIN(RADIANS(Insolation!$L$7))+SIN(RADIANS(J29))*COS(RADIANS(Insolation!$L$7))</f>
        <v>0.80585587209046228</v>
      </c>
      <c r="Q29" s="179">
        <f>COS(RADIANS(J29))*COS(RADIANS(K29-K29))*SIN(RADIANS(Insolation!$L$7))+SIN(RADIANS(J29))*COS(RADIANS(Insolation!$L$7))</f>
        <v>0.80585587209046228</v>
      </c>
      <c r="R29" s="181">
        <f t="shared" si="7"/>
        <v>1</v>
      </c>
      <c r="S29" s="40">
        <f t="shared" si="8"/>
        <v>190.65213392028068</v>
      </c>
      <c r="T29" s="40">
        <f>B28*Insolation!$E$13</f>
        <v>77.869630706770337</v>
      </c>
      <c r="U29" s="40">
        <f>Insolation!$L$8*B28*(SIN(RADIANS(J29))+Insolation!$E$13)*((1-COS(RADIANS(0)))/2)</f>
        <v>0</v>
      </c>
      <c r="V29" s="40">
        <f t="shared" si="10"/>
        <v>465.11444077732995</v>
      </c>
      <c r="W29" s="42">
        <f>Insolation!$E$13*PSH!B28*((1+COS(RADIANS(Insolation!$L$7)))/2)</f>
        <v>71.05869385684403</v>
      </c>
      <c r="X29" s="40">
        <f>Insolation!$L$8*B28*((SIN(RADIANS(J29)))+Insolation!$E$13)*((1-COS(RADIANS(Insolation!$L$7)))/2)</f>
        <v>4.6972992297666307</v>
      </c>
      <c r="Y29" s="40">
        <f>B28*(COS(RADIANS(Angles!$F$10)))</f>
        <v>536.36032857677492</v>
      </c>
      <c r="Z29" s="40">
        <f>Insolation!$E$13*PSH!B28*((1+COS(RADIANS(90-J29+Angles!$F$10)))/2)</f>
        <v>37.313752333718526</v>
      </c>
      <c r="AA29" s="40">
        <f>Insolation!$L$8*((B28*SIN(RADIANS(J29)))+(Insolation!$E$13*B28))*((1-COS(RADIANS(Insolation!$L$7)))/2)</f>
        <v>4.6972992297666316</v>
      </c>
      <c r="AB29" s="40">
        <f t="shared" si="4"/>
        <v>577.16827150589779</v>
      </c>
      <c r="AC29" s="40">
        <f>Insolation!$E$13*B28*((1+COS(RADIANS(90-J29)))/2)</f>
        <v>51.795892438491599</v>
      </c>
      <c r="AD29" s="40">
        <f>Insolation!$L$8*((PSH!B28*SIN(RADIANS(PSH!J29)))+(Insolation!$E$13*PSH!B28))*((1-COS(RADIANS(90-PSH!J29)))/2)</f>
        <v>17.982276650538545</v>
      </c>
    </row>
    <row r="30" spans="1:30" x14ac:dyDescent="0.15">
      <c r="A30" s="157">
        <f>Graph!A30</f>
        <v>18.5</v>
      </c>
      <c r="B30" s="40">
        <f>Graph!D30</f>
        <v>255.85521607712755</v>
      </c>
      <c r="C30" s="204">
        <f t="shared" si="0"/>
        <v>69.29636692026402</v>
      </c>
      <c r="D30" s="161"/>
      <c r="E30" s="162">
        <f t="shared" si="1"/>
        <v>69.29636692026402</v>
      </c>
      <c r="F30" s="162">
        <f t="shared" si="2"/>
        <v>341.1762224928417</v>
      </c>
      <c r="G30" s="38">
        <f t="shared" si="3"/>
        <v>201.87250000000495</v>
      </c>
      <c r="H30" s="38"/>
      <c r="I30" s="157">
        <v>19</v>
      </c>
      <c r="J30" s="40">
        <f>Graph!B29</f>
        <v>13.733374622678625</v>
      </c>
      <c r="K30" s="40">
        <f>IF(COS(RADIANS(Graph!H29))&gt;=((TAN(RADIANS(Angles!$F$10)))/(TAN(RADIANS(Time!$P$4)))),L30,IF(A29&lt;12,M30,N30))</f>
        <v>-106.93303174869351</v>
      </c>
      <c r="L30" s="40">
        <f>DEGREES(ASIN(COS(RADIANS(Angles!$F$10))*SIN(RADIANS(Graph!H29))/COS(RADIANS(J30))))</f>
        <v>-73.066968251306506</v>
      </c>
      <c r="M30" s="40">
        <f t="shared" si="5"/>
        <v>253.06696825130649</v>
      </c>
      <c r="N30" s="42">
        <f t="shared" si="6"/>
        <v>-106.93303174869351</v>
      </c>
      <c r="O30" s="178">
        <f>COS(RADIANS(J30))*COS(RADIANS(K30-Insolation!$L$6))*SIN(RADIANS(0))+(SIN(RADIANS(J30))*COS(RADIANS(0)))</f>
        <v>0.23740403035230614</v>
      </c>
      <c r="P30" s="178">
        <f>COS(RADIANS(J30))*COS(RADIANS(K30-K30))*SIN(RADIANS(Insolation!$L$7))+SIN(RADIANS(J30))*COS(RADIANS(Insolation!$L$7))</f>
        <v>0.74475392139371444</v>
      </c>
      <c r="Q30" s="179">
        <f>COS(RADIANS(J30))*COS(RADIANS(K30-K30))*SIN(RADIANS(Insolation!$L$7))+SIN(RADIANS(J30))*COS(RADIANS(Insolation!$L$7))</f>
        <v>0.74475392139371444</v>
      </c>
      <c r="R30" s="181">
        <f t="shared" si="7"/>
        <v>1</v>
      </c>
      <c r="S30" s="40">
        <f t="shared" si="8"/>
        <v>106.97403309494614</v>
      </c>
      <c r="T30" s="40">
        <f>B29*Insolation!$E$13</f>
        <v>60.793332186901729</v>
      </c>
      <c r="U30" s="40">
        <f>Insolation!$L$8*B29*(SIN(RADIANS(J30))+Insolation!$E$13)*((1-COS(RADIANS(0)))/2)</f>
        <v>0</v>
      </c>
      <c r="V30" s="40">
        <f t="shared" si="10"/>
        <v>335.58541746967529</v>
      </c>
      <c r="W30" s="42">
        <f>Insolation!$E$13*PSH!B29*((1+COS(RADIANS(Insolation!$L$7)))/2)</f>
        <v>55.475989049873341</v>
      </c>
      <c r="X30" s="40">
        <f>Insolation!$L$8*B29*((SIN(RADIANS(J30)))+Insolation!$E$13)*((1-COS(RADIANS(Insolation!$L$7)))/2)</f>
        <v>2.9347845110914039</v>
      </c>
      <c r="Y30" s="40">
        <f>B29*(COS(RADIANS(Angles!$F$10)))</f>
        <v>418.7400316540685</v>
      </c>
      <c r="Z30" s="40">
        <f>Insolation!$E$13*PSH!B29*((1+COS(RADIANS(90-J30+Angles!$F$10)))/2)</f>
        <v>26.197138644837505</v>
      </c>
      <c r="AA30" s="40">
        <f>Insolation!$L$8*((B29*SIN(RADIANS(J30)))+(Insolation!$E$13*B29))*((1-COS(RADIANS(Insolation!$L$7)))/2)</f>
        <v>2.9347845110914048</v>
      </c>
      <c r="AB30" s="40">
        <f t="shared" si="4"/>
        <v>450.59906074971565</v>
      </c>
      <c r="AC30" s="40">
        <f>Insolation!$E$13*B29*((1+COS(RADIANS(90-J30)))/2)</f>
        <v>37.612957133309386</v>
      </c>
      <c r="AD30" s="40">
        <f>Insolation!$L$8*((PSH!B29*SIN(RADIANS(PSH!J30)))+(Insolation!$E$13*PSH!B29))*((1-COS(RADIANS(90-PSH!J30)))/2)</f>
        <v>12.793871660234963</v>
      </c>
    </row>
    <row r="31" spans="1:30" x14ac:dyDescent="0.15">
      <c r="A31" s="157">
        <f>Graph!A31</f>
        <v>19</v>
      </c>
      <c r="B31" s="40">
        <f>Graph!D31</f>
        <v>21.330251603928545</v>
      </c>
      <c r="C31" s="204">
        <f t="shared" si="0"/>
        <v>5.3325629009821363</v>
      </c>
      <c r="D31" s="161"/>
      <c r="E31" s="162">
        <f t="shared" si="1"/>
        <v>5.3325629009821363</v>
      </c>
      <c r="F31" s="162">
        <f t="shared" si="2"/>
        <v>21.330251603928545</v>
      </c>
      <c r="G31" s="38">
        <f t="shared" si="3"/>
        <v>152.49999999999272</v>
      </c>
      <c r="H31" s="38"/>
      <c r="I31" s="157">
        <v>19.5</v>
      </c>
      <c r="J31" s="40">
        <f>Graph!B30</f>
        <v>8.3074433839540767</v>
      </c>
      <c r="K31" s="40">
        <f>IF(COS(RADIANS(Graph!H30))&gt;=((TAN(RADIANS(Angles!$F$10)))/(TAN(RADIANS(Time!$P$4)))),L31,IF(A30&lt;12,M31,N31))</f>
        <v>-111.39051599924704</v>
      </c>
      <c r="L31" s="40">
        <f>DEGREES(ASIN(COS(RADIANS(Angles!$F$10))*SIN(RADIANS(Graph!H30))/COS(RADIANS(J31))))</f>
        <v>-68.609484000752957</v>
      </c>
      <c r="M31" s="40">
        <f t="shared" si="5"/>
        <v>248.60948400075296</v>
      </c>
      <c r="N31" s="42">
        <f t="shared" si="6"/>
        <v>-111.39051599924704</v>
      </c>
      <c r="O31" s="178">
        <f>COS(RADIANS(J31))*COS(RADIANS(K31-Insolation!$L$6))*SIN(RADIANS(0))+(SIN(RADIANS(J31))*COS(RADIANS(0)))</f>
        <v>0.14448475061889413</v>
      </c>
      <c r="P31" s="178">
        <f>COS(RADIANS(J31))*COS(RADIANS(K31-K31))*SIN(RADIANS(Insolation!$L$7))+SIN(RADIANS(J31))*COS(RADIANS(Insolation!$L$7))</f>
        <v>0.67831403367869181</v>
      </c>
      <c r="Q31" s="179">
        <f>COS(RADIANS(J31))*COS(RADIANS(K31-K31))*SIN(RADIANS(Insolation!$L$7))+SIN(RADIANS(J31))*COS(RADIANS(Insolation!$L$7))</f>
        <v>0.67831403367869181</v>
      </c>
      <c r="R31" s="181">
        <f t="shared" si="7"/>
        <v>0.99999999999999989</v>
      </c>
      <c r="S31" s="40">
        <f t="shared" si="8"/>
        <v>36.967177089447048</v>
      </c>
      <c r="T31" s="40">
        <f>B30*Insolation!$E$13</f>
        <v>34.519137960138657</v>
      </c>
      <c r="U31" s="40">
        <f>Insolation!$L$8*B30*(SIN(RADIANS(J31))+Insolation!$E$13)*((1-COS(RADIANS(0)))/2)</f>
        <v>0</v>
      </c>
      <c r="V31" s="40">
        <f t="shared" si="10"/>
        <v>173.55018365500968</v>
      </c>
      <c r="W31" s="42">
        <f>Insolation!$E$13*PSH!B30*((1+COS(RADIANS(Insolation!$L$7)))/2)</f>
        <v>31.499890705124294</v>
      </c>
      <c r="X31" s="40">
        <f>Insolation!$L$8*B30*((SIN(RADIANS(J31)))+Insolation!$E$13)*((1-COS(RADIANS(Insolation!$L$7)))/2)</f>
        <v>1.2505228881079899</v>
      </c>
      <c r="Y31" s="40">
        <f>B30*(COS(RADIANS(Angles!$F$10)))</f>
        <v>237.76530093236005</v>
      </c>
      <c r="Z31" s="40">
        <f>Insolation!$E$13*PSH!B30*((1+COS(RADIANS(90-J31+Angles!$F$10)))/2)</f>
        <v>13.269319875014526</v>
      </c>
      <c r="AA31" s="40">
        <f>Insolation!$L$8*((B30*SIN(RADIANS(J31)))+(Insolation!$E$13*B30))*((1-COS(RADIANS(Insolation!$L$7)))/2)</f>
        <v>1.2505228881079897</v>
      </c>
      <c r="AB31" s="40">
        <f t="shared" si="4"/>
        <v>255.85521607712755</v>
      </c>
      <c r="AC31" s="40">
        <f>Insolation!$E$13*B30*((1+COS(RADIANS(90-J31)))/2)</f>
        <v>19.753313499944248</v>
      </c>
      <c r="AD31" s="40">
        <f>Insolation!$L$8*((PSH!B30*SIN(RADIANS(PSH!J31)))+(Insolation!$E$13*PSH!B30))*((1-COS(RADIANS(90-PSH!J31)))/2)</f>
        <v>6.1157632646982609</v>
      </c>
    </row>
    <row r="32" spans="1:30" x14ac:dyDescent="0.15">
      <c r="A32" s="157">
        <f>Graph!A32</f>
        <v>19.5</v>
      </c>
      <c r="B32" s="40">
        <f>Graph!D32</f>
        <v>0</v>
      </c>
      <c r="C32" s="204">
        <f t="shared" si="0"/>
        <v>0</v>
      </c>
      <c r="D32" s="161"/>
      <c r="E32" s="162">
        <f t="shared" si="1"/>
        <v>0</v>
      </c>
      <c r="F32" s="162">
        <f t="shared" si="2"/>
        <v>0</v>
      </c>
      <c r="G32" s="38">
        <f t="shared" si="3"/>
        <v>0</v>
      </c>
      <c r="H32" s="38"/>
      <c r="I32" s="157">
        <v>20</v>
      </c>
      <c r="J32" s="40">
        <f>Graph!B31</f>
        <v>3.0470129919582356</v>
      </c>
      <c r="K32" s="40">
        <f>IF(COS(RADIANS(Graph!H31))&gt;=((TAN(RADIANS(Angles!$F$10)))/(TAN(RADIANS(Time!$P$4)))),L32,IF(A31&lt;12,M32,N32))</f>
        <v>-115.98587406696336</v>
      </c>
      <c r="L32" s="40">
        <f>DEGREES(ASIN(COS(RADIANS(Angles!$F$10))*SIN(RADIANS(Graph!H31))/COS(RADIANS(J32))))</f>
        <v>-64.014125933036638</v>
      </c>
      <c r="M32" s="40">
        <f t="shared" si="5"/>
        <v>244.01412593303664</v>
      </c>
      <c r="N32" s="42">
        <f t="shared" si="6"/>
        <v>-115.98587406696336</v>
      </c>
      <c r="O32" s="178">
        <f>COS(RADIANS(J32))*COS(RADIANS(K32-Insolation!$L$6))*SIN(RADIANS(0))+(SIN(RADIANS(J32))*COS(RADIANS(0)))</f>
        <v>5.3155345523812125E-2</v>
      </c>
      <c r="P32" s="178">
        <f>COS(RADIANS(J32))*COS(RADIANS(K32-K32))*SIN(RADIANS(Insolation!$L$7))+SIN(RADIANS(J32))*COS(RADIANS(Insolation!$L$7))</f>
        <v>0.60809110940707145</v>
      </c>
      <c r="Q32" s="179">
        <f>COS(RADIANS(J32))*COS(RADIANS(K32-K32))*SIN(RADIANS(Insolation!$L$7))+SIN(RADIANS(J32))*COS(RADIANS(Insolation!$L$7))</f>
        <v>0.60809110940707145</v>
      </c>
      <c r="R32" s="181">
        <f t="shared" si="7"/>
        <v>1</v>
      </c>
      <c r="S32" s="40">
        <f t="shared" si="8"/>
        <v>1.1338168941166695</v>
      </c>
      <c r="T32" s="40">
        <f>B31*Insolation!$E$13</f>
        <v>2.8778068672186858</v>
      </c>
      <c r="U32" s="40">
        <f>Insolation!$L$8*B31*(SIN(RADIANS(J32))+Insolation!$E$13)*((1-COS(RADIANS(0)))/2)</f>
        <v>0</v>
      </c>
      <c r="V32" s="40">
        <f t="shared" si="10"/>
        <v>12.970736361764875</v>
      </c>
      <c r="W32" s="42">
        <f>Insolation!$E$13*PSH!B31*((1+COS(RADIANS(Insolation!$L$7)))/2)</f>
        <v>2.626096917383177</v>
      </c>
      <c r="X32" s="40">
        <f>Insolation!$L$8*B31*((SIN(RADIANS(J32)))+Insolation!$E$13)*((1-COS(RADIANS(Insolation!$L$7)))/2)</f>
        <v>7.0176051577815937E-2</v>
      </c>
      <c r="Y32" s="40">
        <f>B31*(COS(RADIANS(Angles!$F$10)))</f>
        <v>19.822123501450111</v>
      </c>
      <c r="Z32" s="40">
        <f>Insolation!$E$13*PSH!B31*((1+COS(RADIANS(90-J32+Angles!$F$10)))/2)</f>
        <v>0.97929480394274693</v>
      </c>
      <c r="AA32" s="40">
        <f>Insolation!$L$8*((B31*SIN(RADIANS(J32)))+(Insolation!$E$13*B31))*((1-COS(RADIANS(Insolation!$L$7)))/2)</f>
        <v>7.0176051577815951E-2</v>
      </c>
      <c r="AB32" s="40">
        <f t="shared" si="4"/>
        <v>21.330251603928545</v>
      </c>
      <c r="AC32" s="40">
        <f>Insolation!$E$13*B31*((1+COS(RADIANS(90-J32)))/2)</f>
        <v>1.5153888427982474</v>
      </c>
      <c r="AD32" s="40">
        <f>Insolation!$L$8*((PSH!B31*SIN(RADIANS(PSH!J32)))+(Insolation!$E$13*PSH!B31))*((1-COS(RADIANS(90-PSH!J32)))/2)</f>
        <v>0.37983845141900396</v>
      </c>
    </row>
    <row r="33" spans="1:127" ht="17" thickBot="1" x14ac:dyDescent="0.25">
      <c r="A33" s="158"/>
      <c r="B33" s="38"/>
      <c r="C33" s="167">
        <f>SUM(C2:C32)/1000</f>
        <v>9.7883621480670655</v>
      </c>
      <c r="D33" s="166" t="s">
        <v>142</v>
      </c>
      <c r="E33" s="164">
        <f>SUM(E2:E32)/1000</f>
        <v>9.7883621480670655</v>
      </c>
      <c r="F33" s="164">
        <f>((1/3)*SUM(F2:F32)*(A3-A2))/1000</f>
        <v>9.8574728224481003</v>
      </c>
      <c r="G33" s="38">
        <f>SUM(G2:G32)/1000</f>
        <v>9.0387199999999943</v>
      </c>
      <c r="H33" s="38"/>
      <c r="I33" s="157">
        <v>20.5</v>
      </c>
      <c r="J33" s="40">
        <f>Graph!B32</f>
        <v>-2.0069953232628306</v>
      </c>
      <c r="K33" s="40">
        <f>IF(COS(RADIANS(Graph!H32))&gt;=((TAN(RADIANS(Angles!$F$10)))/(TAN(RADIANS(Time!$P$4)))),L33,IF(A32&lt;12,M33,N33))</f>
        <v>-120.78601954335207</v>
      </c>
      <c r="L33" s="40">
        <f>DEGREES(ASIN(COS(RADIANS(Angles!$F$10))*SIN(RADIANS(Graph!H32))/COS(RADIANS(J33))))</f>
        <v>-59.213980456647938</v>
      </c>
      <c r="M33" s="40">
        <f t="shared" si="5"/>
        <v>239.21398045664793</v>
      </c>
      <c r="N33" s="42">
        <f t="shared" si="6"/>
        <v>-120.78601954335207</v>
      </c>
      <c r="O33" s="178">
        <f>COS(RADIANS(J33))*COS(RADIANS(K33-Insolation!$L$6))*SIN(RADIANS(0))+(SIN(RADIANS(J33))*COS(RADIANS(0)))</f>
        <v>-3.5021513490467927E-2</v>
      </c>
      <c r="P33" s="178">
        <f>COS(RADIANS(J33))*COS(RADIANS(K33-K33))*SIN(RADIANS(Insolation!$L$7))+SIN(RADIANS(J33))*COS(RADIANS(Insolation!$L$7))</f>
        <v>0.53579138388151248</v>
      </c>
      <c r="Q33" s="179">
        <f>COS(RADIANS(J33))*COS(RADIANS(K33-K33))*SIN(RADIANS(Insolation!$L$7))+SIN(RADIANS(J33))*COS(RADIANS(Insolation!$L$7))</f>
        <v>0.53579138388151248</v>
      </c>
      <c r="R33" s="181">
        <f t="shared" si="7"/>
        <v>1</v>
      </c>
      <c r="S33" s="40">
        <f t="shared" si="8"/>
        <v>0</v>
      </c>
      <c r="T33" s="40">
        <f>B32*Insolation!$E$13</f>
        <v>0</v>
      </c>
      <c r="U33" s="40">
        <f>Insolation!$L$8*B32*(SIN(RADIANS(J33))+Insolation!$E$13)*((1-COS(RADIANS(0)))/2)</f>
        <v>0</v>
      </c>
      <c r="V33" s="40">
        <f t="shared" si="10"/>
        <v>0</v>
      </c>
      <c r="W33" s="42">
        <f>Insolation!$E$13*PSH!B32*((1+COS(RADIANS(Insolation!$L$7)))/2)</f>
        <v>0</v>
      </c>
      <c r="X33" s="40">
        <f>Insolation!$L$8*B32*((SIN(RADIANS(J33)))+Insolation!$E$13)*((1-COS(RADIANS(Insolation!$L$7)))/2)</f>
        <v>0</v>
      </c>
      <c r="Y33" s="40">
        <f>B32*(COS(RADIANS(Angles!$F$10)))</f>
        <v>0</v>
      </c>
      <c r="Z33" s="40">
        <f>Insolation!$E$13*PSH!B32*((1+COS(RADIANS(90-J33+Angles!$F$10)))/2)</f>
        <v>0</v>
      </c>
      <c r="AA33" s="40">
        <f>Insolation!$L$8*((B32*SIN(RADIANS(J33)))+(Insolation!$E$13*B32))*((1-COS(RADIANS(Insolation!$L$7)))/2)</f>
        <v>0</v>
      </c>
      <c r="AB33" s="40">
        <f t="shared" si="4"/>
        <v>0</v>
      </c>
      <c r="AC33" s="40">
        <f>Insolation!$E$13*B32*((1+COS(RADIANS(90-J33)))/2)</f>
        <v>0</v>
      </c>
      <c r="AD33" s="40">
        <f>Insolation!$L$8*((PSH!B32*SIN(RADIANS(PSH!J33)))+(Insolation!$E$13*PSH!B32))*((1-COS(RADIANS(90-PSH!J33)))/2)</f>
        <v>0</v>
      </c>
    </row>
    <row r="34" spans="1:127" ht="14" thickBot="1" x14ac:dyDescent="0.2">
      <c r="B34" s="38"/>
      <c r="I34" s="36"/>
    </row>
    <row r="35" spans="1:127" ht="14" thickBot="1" x14ac:dyDescent="0.2">
      <c r="A35" s="159" t="s">
        <v>146</v>
      </c>
      <c r="B35" s="168"/>
      <c r="C35" s="168" t="s">
        <v>147</v>
      </c>
      <c r="D35" s="168"/>
      <c r="E35" s="169" t="s">
        <v>148</v>
      </c>
      <c r="F35" s="170" t="s">
        <v>149</v>
      </c>
      <c r="G35" s="38"/>
      <c r="H35" s="38"/>
      <c r="I35" s="38"/>
      <c r="J35" s="38"/>
      <c r="K35" s="38"/>
      <c r="L35" s="38"/>
      <c r="M35" s="38"/>
      <c r="N35" s="38"/>
      <c r="O35" s="38"/>
      <c r="P35" s="38"/>
      <c r="Q35" s="38"/>
      <c r="S35" s="182" t="s">
        <v>162</v>
      </c>
      <c r="T35" s="183" t="s">
        <v>163</v>
      </c>
      <c r="U35" s="184" t="s">
        <v>164</v>
      </c>
      <c r="V35" s="182" t="s">
        <v>162</v>
      </c>
      <c r="W35" s="183" t="s">
        <v>163</v>
      </c>
      <c r="X35" s="184" t="s">
        <v>164</v>
      </c>
      <c r="Y35" s="182" t="s">
        <v>162</v>
      </c>
      <c r="Z35" s="183" t="s">
        <v>163</v>
      </c>
      <c r="AA35" s="184" t="s">
        <v>164</v>
      </c>
      <c r="AB35" s="182" t="s">
        <v>162</v>
      </c>
      <c r="AC35" s="183" t="s">
        <v>163</v>
      </c>
      <c r="AD35" s="184" t="s">
        <v>164</v>
      </c>
    </row>
    <row r="36" spans="1:127" ht="14" thickBot="1" x14ac:dyDescent="0.2">
      <c r="A36" s="171">
        <f>MAX(B2:B32)</f>
        <v>871.78078508519502</v>
      </c>
      <c r="C36">
        <f>INDEX(A2:A32,F36)-INDEX(A2:A32,E36)</f>
        <v>14.5</v>
      </c>
      <c r="E36" s="172">
        <f>MATCH(TRUE,INDEX(B2:B32&gt;0,0),0)</f>
        <v>2</v>
      </c>
      <c r="F36" s="161">
        <f>MATCH(TRUE,INDEX(B15:B32=0,0),0)+13</f>
        <v>31</v>
      </c>
      <c r="K36" s="343" t="s">
        <v>189</v>
      </c>
      <c r="L36" s="343"/>
      <c r="M36" s="343"/>
      <c r="N36" s="343"/>
      <c r="S36" s="40">
        <f>SUM(S4,S6,S8,S10,S12,S14,S16,S18,S20,S22,S24,S26,S28,S30,S32)/1000</f>
        <v>6.7788302691887719</v>
      </c>
      <c r="T36" s="40">
        <f>SUM(T4,T6,T8,T10,T12,T14,T16,T18,T20,T22,T24,T26,T28,T30,T32)/1000</f>
        <v>1.3142171163658694</v>
      </c>
      <c r="U36" s="40">
        <f t="shared" ref="U36:AD36" si="11">SUM(U4,U6,U8,U10,U12,U14,U16,U18,U20,U22,U24,U26,U28,U30,U32)/1000</f>
        <v>0</v>
      </c>
      <c r="V36" s="40">
        <f t="shared" si="11"/>
        <v>9.1341679691486917</v>
      </c>
      <c r="W36" s="40">
        <f t="shared" si="11"/>
        <v>1.1992679416308984</v>
      </c>
      <c r="X36" s="40">
        <f t="shared" si="11"/>
        <v>0.14157312463453467</v>
      </c>
      <c r="Y36" s="40">
        <f>SUM(Y4,Y6,Y8,Y10,Y12,Y14,Y16,Y18,Y20,Y22,Y24,Y26,Y28,Y30,Y32)/1000</f>
        <v>9.0522315048545909</v>
      </c>
      <c r="Z36" s="40">
        <f>SUM(Z4,Z6,Z8,Z10,Z12,Z14,Z16,Z18,Z20,Z22,Z24,Z26,Z28,Z30,Z32)/1000</f>
        <v>0.92591980892660353</v>
      </c>
      <c r="AA36" s="40">
        <f t="shared" si="11"/>
        <v>0.14157312463453467</v>
      </c>
      <c r="AB36" s="40">
        <f t="shared" si="11"/>
        <v>9.7409531103684088</v>
      </c>
      <c r="AC36" s="40">
        <f t="shared" si="11"/>
        <v>1.1143972170937462</v>
      </c>
      <c r="AD36" s="40">
        <f t="shared" si="11"/>
        <v>0.19455427124563662</v>
      </c>
    </row>
    <row r="37" spans="1:127" ht="14" thickBot="1" x14ac:dyDescent="0.2">
      <c r="A37" s="173"/>
      <c r="F37" s="161"/>
      <c r="T37" s="197">
        <f>S36+T36</f>
        <v>8.093047385554641</v>
      </c>
      <c r="U37" s="38"/>
      <c r="V37" s="38"/>
      <c r="W37" s="197">
        <f>V36+W36</f>
        <v>10.33343591077959</v>
      </c>
      <c r="X37" s="38"/>
      <c r="Y37" s="38"/>
      <c r="Z37" s="197">
        <f>Y36+Z36</f>
        <v>9.9781513137811952</v>
      </c>
      <c r="AA37" s="38"/>
      <c r="AB37" s="38"/>
      <c r="AC37" s="197">
        <f>AB36+AC36</f>
        <v>10.855350327462155</v>
      </c>
      <c r="AD37" s="38"/>
    </row>
    <row r="38" spans="1:127" ht="14" thickBot="1" x14ac:dyDescent="0.2">
      <c r="A38" s="174"/>
      <c r="B38" s="175"/>
      <c r="C38" s="175"/>
      <c r="D38" s="177">
        <f>0.637*A36*C36/1000</f>
        <v>8.0522032214394041</v>
      </c>
      <c r="E38" s="175"/>
      <c r="F38" s="176"/>
      <c r="R38" s="36" t="s">
        <v>165</v>
      </c>
      <c r="S38" s="180">
        <f>MAX(S3:S33)+MAX(T3:T33)</f>
        <v>945.18731579374503</v>
      </c>
      <c r="T38" s="38">
        <f>0.637*S38*C36/1000</f>
        <v>8.7302226423289255</v>
      </c>
      <c r="U38" s="180"/>
      <c r="V38" s="180">
        <f>MAX(V3:V33)+MAX(W3:W33)</f>
        <v>959.3554314731183</v>
      </c>
      <c r="W38" s="38">
        <f>0.637*V38*C36/1000</f>
        <v>8.861086442801458</v>
      </c>
      <c r="X38" s="180"/>
      <c r="Y38" s="180">
        <f>MAX(Y3:Y33)+MAX(Z3:Z33)</f>
        <v>914.00175078073846</v>
      </c>
      <c r="Z38" s="38">
        <f>0.637*Y38*C36/1000</f>
        <v>8.442177171086291</v>
      </c>
      <c r="AA38" s="180"/>
      <c r="AB38" s="180">
        <f>MAX(AB3:AB33)+MAX(AC3:AC33)</f>
        <v>986.4161426268513</v>
      </c>
      <c r="AC38" s="38">
        <f>0.637*AB38*C36/1000</f>
        <v>9.1110327013729133</v>
      </c>
    </row>
    <row r="39" spans="1:127" s="202" customFormat="1" x14ac:dyDescent="0.15"/>
    <row r="40" spans="1:127" x14ac:dyDescent="0.15">
      <c r="A40" s="39" t="s">
        <v>41</v>
      </c>
      <c r="B40" s="201" t="s">
        <v>27</v>
      </c>
      <c r="C40" s="201" t="s">
        <v>28</v>
      </c>
      <c r="D40" s="201" t="s">
        <v>29</v>
      </c>
      <c r="E40" s="201" t="s">
        <v>30</v>
      </c>
      <c r="F40" s="201" t="s">
        <v>31</v>
      </c>
      <c r="G40" s="201" t="s">
        <v>43</v>
      </c>
      <c r="H40" s="201" t="s">
        <v>32</v>
      </c>
      <c r="I40" s="201" t="s">
        <v>33</v>
      </c>
      <c r="J40" s="201" t="s">
        <v>34</v>
      </c>
      <c r="K40" s="201" t="s">
        <v>35</v>
      </c>
      <c r="L40" s="201" t="s">
        <v>36</v>
      </c>
      <c r="M40" s="201" t="s">
        <v>37</v>
      </c>
      <c r="R40" s="200" t="s">
        <v>167</v>
      </c>
    </row>
    <row r="41" spans="1:127" x14ac:dyDescent="0.15">
      <c r="A41" s="205">
        <v>15</v>
      </c>
      <c r="B41" s="48">
        <f>A41+0</f>
        <v>15</v>
      </c>
      <c r="C41" s="48">
        <f>B41+31</f>
        <v>46</v>
      </c>
      <c r="D41" s="48">
        <f>C41+28</f>
        <v>74</v>
      </c>
      <c r="E41" s="48">
        <f>D41+31</f>
        <v>105</v>
      </c>
      <c r="F41" s="48">
        <f>E41+30</f>
        <v>135</v>
      </c>
      <c r="G41" s="48">
        <f>F41+31</f>
        <v>166</v>
      </c>
      <c r="H41" s="48">
        <f>G41+30</f>
        <v>196</v>
      </c>
      <c r="I41" s="48">
        <f>H41+31</f>
        <v>227</v>
      </c>
      <c r="J41" s="48">
        <f>I41+31</f>
        <v>258</v>
      </c>
      <c r="K41" s="48">
        <f>J41+30</f>
        <v>288</v>
      </c>
      <c r="L41" s="48">
        <f>K41+31</f>
        <v>319</v>
      </c>
      <c r="M41" s="48">
        <f>L41+30</f>
        <v>349</v>
      </c>
      <c r="T41" s="36"/>
    </row>
    <row r="42" spans="1:127" x14ac:dyDescent="0.15">
      <c r="A42" s="39" t="s">
        <v>55</v>
      </c>
      <c r="O42" s="340" t="s">
        <v>152</v>
      </c>
      <c r="P42" s="341"/>
      <c r="Q42" s="340" t="s">
        <v>153</v>
      </c>
      <c r="R42" s="341"/>
      <c r="S42" s="340" t="s">
        <v>173</v>
      </c>
      <c r="T42" s="341"/>
      <c r="U42" s="340" t="s">
        <v>174</v>
      </c>
      <c r="V42" s="341"/>
      <c r="AJ42" s="340" t="s">
        <v>152</v>
      </c>
      <c r="AK42" s="341"/>
      <c r="AL42" s="340" t="s">
        <v>153</v>
      </c>
      <c r="AM42" s="341"/>
      <c r="AN42" s="340" t="s">
        <v>173</v>
      </c>
      <c r="AO42" s="341"/>
      <c r="AP42" s="340" t="s">
        <v>174</v>
      </c>
      <c r="AQ42" s="341"/>
      <c r="BE42" s="340" t="s">
        <v>152</v>
      </c>
      <c r="BF42" s="341"/>
      <c r="BG42" s="340" t="s">
        <v>153</v>
      </c>
      <c r="BH42" s="341"/>
      <c r="BI42" s="340" t="s">
        <v>173</v>
      </c>
      <c r="BJ42" s="341"/>
      <c r="BK42" s="340" t="s">
        <v>174</v>
      </c>
      <c r="BL42" s="341"/>
      <c r="BZ42" s="340" t="s">
        <v>152</v>
      </c>
      <c r="CA42" s="341"/>
      <c r="CB42" s="340" t="s">
        <v>153</v>
      </c>
      <c r="CC42" s="341"/>
      <c r="CD42" s="340" t="s">
        <v>173</v>
      </c>
      <c r="CE42" s="341"/>
      <c r="CF42" s="340" t="s">
        <v>174</v>
      </c>
      <c r="CG42" s="341"/>
      <c r="CU42" s="340" t="s">
        <v>152</v>
      </c>
      <c r="CV42" s="341"/>
      <c r="CW42" s="340" t="s">
        <v>153</v>
      </c>
      <c r="CX42" s="341"/>
      <c r="CY42" s="340" t="s">
        <v>173</v>
      </c>
      <c r="CZ42" s="341"/>
      <c r="DA42" s="340" t="s">
        <v>174</v>
      </c>
      <c r="DB42" s="341"/>
      <c r="DP42" s="340" t="s">
        <v>152</v>
      </c>
      <c r="DQ42" s="341"/>
      <c r="DR42" s="340" t="s">
        <v>153</v>
      </c>
      <c r="DS42" s="341"/>
      <c r="DT42" s="340" t="s">
        <v>173</v>
      </c>
      <c r="DU42" s="341"/>
      <c r="DV42" s="340" t="s">
        <v>174</v>
      </c>
      <c r="DW42" s="341"/>
    </row>
    <row r="43" spans="1:127" x14ac:dyDescent="0.15">
      <c r="A43" s="39">
        <f>Time!P4</f>
        <v>40</v>
      </c>
      <c r="C43" s="201" t="s">
        <v>178</v>
      </c>
      <c r="D43" s="39" t="s">
        <v>82</v>
      </c>
      <c r="E43" s="39" t="s">
        <v>83</v>
      </c>
      <c r="F43" s="39" t="s">
        <v>179</v>
      </c>
      <c r="G43" s="39" t="s">
        <v>60</v>
      </c>
      <c r="H43" s="206">
        <v>1</v>
      </c>
      <c r="I43" s="206">
        <v>2</v>
      </c>
      <c r="J43" s="206">
        <v>3</v>
      </c>
      <c r="K43" s="39" t="s">
        <v>185</v>
      </c>
      <c r="L43" s="39" t="s">
        <v>183</v>
      </c>
      <c r="M43" s="39" t="s">
        <v>186</v>
      </c>
      <c r="N43" s="39" t="s">
        <v>187</v>
      </c>
      <c r="O43" s="39" t="s">
        <v>150</v>
      </c>
      <c r="P43" s="39" t="s">
        <v>188</v>
      </c>
      <c r="Q43" s="39" t="s">
        <v>150</v>
      </c>
      <c r="R43" s="39" t="s">
        <v>188</v>
      </c>
      <c r="S43" s="39" t="s">
        <v>150</v>
      </c>
      <c r="T43" s="39" t="s">
        <v>188</v>
      </c>
      <c r="U43" s="39" t="s">
        <v>150</v>
      </c>
      <c r="V43" s="39" t="s">
        <v>188</v>
      </c>
      <c r="X43" s="201" t="s">
        <v>190</v>
      </c>
      <c r="Y43" s="39" t="s">
        <v>82</v>
      </c>
      <c r="Z43" s="39" t="s">
        <v>83</v>
      </c>
      <c r="AA43" s="39" t="s">
        <v>179</v>
      </c>
      <c r="AB43" s="39" t="s">
        <v>60</v>
      </c>
      <c r="AC43" s="206">
        <v>1</v>
      </c>
      <c r="AD43" s="206">
        <v>2</v>
      </c>
      <c r="AE43" s="206">
        <v>3</v>
      </c>
      <c r="AF43" s="39" t="s">
        <v>185</v>
      </c>
      <c r="AG43" s="39" t="s">
        <v>183</v>
      </c>
      <c r="AH43" s="39" t="s">
        <v>186</v>
      </c>
      <c r="AI43" s="39" t="s">
        <v>187</v>
      </c>
      <c r="AJ43" s="39" t="s">
        <v>150</v>
      </c>
      <c r="AK43" s="39" t="s">
        <v>188</v>
      </c>
      <c r="AL43" s="39" t="s">
        <v>150</v>
      </c>
      <c r="AM43" s="39" t="s">
        <v>188</v>
      </c>
      <c r="AN43" s="39" t="s">
        <v>150</v>
      </c>
      <c r="AO43" s="39" t="s">
        <v>188</v>
      </c>
      <c r="AP43" s="39" t="s">
        <v>150</v>
      </c>
      <c r="AQ43" s="39" t="s">
        <v>188</v>
      </c>
      <c r="AS43" s="201" t="s">
        <v>191</v>
      </c>
      <c r="AT43" s="39" t="s">
        <v>82</v>
      </c>
      <c r="AU43" s="39" t="s">
        <v>83</v>
      </c>
      <c r="AV43" s="39" t="s">
        <v>179</v>
      </c>
      <c r="AW43" s="39" t="s">
        <v>60</v>
      </c>
      <c r="AX43" s="206">
        <v>1</v>
      </c>
      <c r="AY43" s="206">
        <v>2</v>
      </c>
      <c r="AZ43" s="206">
        <v>3</v>
      </c>
      <c r="BA43" s="39" t="s">
        <v>185</v>
      </c>
      <c r="BB43" s="39" t="s">
        <v>183</v>
      </c>
      <c r="BC43" s="39" t="s">
        <v>186</v>
      </c>
      <c r="BD43" s="39" t="s">
        <v>187</v>
      </c>
      <c r="BE43" s="39" t="s">
        <v>150</v>
      </c>
      <c r="BF43" s="39" t="s">
        <v>188</v>
      </c>
      <c r="BG43" s="39" t="s">
        <v>150</v>
      </c>
      <c r="BH43" s="39" t="s">
        <v>188</v>
      </c>
      <c r="BI43" s="39" t="s">
        <v>150</v>
      </c>
      <c r="BJ43" s="39" t="s">
        <v>188</v>
      </c>
      <c r="BK43" s="39" t="s">
        <v>150</v>
      </c>
      <c r="BL43" s="39" t="s">
        <v>188</v>
      </c>
      <c r="BN43" s="201" t="s">
        <v>192</v>
      </c>
      <c r="BO43" s="39" t="s">
        <v>82</v>
      </c>
      <c r="BP43" s="39" t="s">
        <v>83</v>
      </c>
      <c r="BQ43" s="39" t="s">
        <v>179</v>
      </c>
      <c r="BR43" s="39" t="s">
        <v>60</v>
      </c>
      <c r="BS43" s="206">
        <v>1</v>
      </c>
      <c r="BT43" s="206">
        <v>2</v>
      </c>
      <c r="BU43" s="206">
        <v>3</v>
      </c>
      <c r="BV43" s="39" t="s">
        <v>185</v>
      </c>
      <c r="BW43" s="39" t="s">
        <v>183</v>
      </c>
      <c r="BX43" s="39" t="s">
        <v>186</v>
      </c>
      <c r="BY43" s="39" t="s">
        <v>187</v>
      </c>
      <c r="BZ43" s="39" t="s">
        <v>150</v>
      </c>
      <c r="CA43" s="39" t="s">
        <v>188</v>
      </c>
      <c r="CB43" s="39" t="s">
        <v>150</v>
      </c>
      <c r="CC43" s="39" t="s">
        <v>188</v>
      </c>
      <c r="CD43" s="39" t="s">
        <v>150</v>
      </c>
      <c r="CE43" s="39" t="s">
        <v>188</v>
      </c>
      <c r="CF43" s="39" t="s">
        <v>150</v>
      </c>
      <c r="CG43" s="39" t="s">
        <v>188</v>
      </c>
      <c r="CI43" s="201" t="s">
        <v>193</v>
      </c>
      <c r="CJ43" s="39" t="s">
        <v>82</v>
      </c>
      <c r="CK43" s="39" t="s">
        <v>83</v>
      </c>
      <c r="CL43" s="39" t="s">
        <v>179</v>
      </c>
      <c r="CM43" s="39" t="s">
        <v>60</v>
      </c>
      <c r="CN43" s="206">
        <v>1</v>
      </c>
      <c r="CO43" s="206">
        <v>2</v>
      </c>
      <c r="CP43" s="206">
        <v>3</v>
      </c>
      <c r="CQ43" s="39" t="s">
        <v>185</v>
      </c>
      <c r="CR43" s="39" t="s">
        <v>183</v>
      </c>
      <c r="CS43" s="39" t="s">
        <v>186</v>
      </c>
      <c r="CT43" s="39" t="s">
        <v>187</v>
      </c>
      <c r="CU43" s="39" t="s">
        <v>150</v>
      </c>
      <c r="CV43" s="39" t="s">
        <v>188</v>
      </c>
      <c r="CW43" s="39" t="s">
        <v>150</v>
      </c>
      <c r="CX43" s="39" t="s">
        <v>188</v>
      </c>
      <c r="CY43" s="39" t="s">
        <v>150</v>
      </c>
      <c r="CZ43" s="39" t="s">
        <v>188</v>
      </c>
      <c r="DA43" s="39" t="s">
        <v>150</v>
      </c>
      <c r="DB43" s="39" t="s">
        <v>188</v>
      </c>
      <c r="DD43" s="201" t="s">
        <v>194</v>
      </c>
      <c r="DE43" s="39" t="s">
        <v>82</v>
      </c>
      <c r="DF43" s="39" t="s">
        <v>83</v>
      </c>
      <c r="DG43" s="39" t="s">
        <v>179</v>
      </c>
      <c r="DH43" s="39" t="s">
        <v>60</v>
      </c>
      <c r="DI43" s="206">
        <v>1</v>
      </c>
      <c r="DJ43" s="206">
        <v>2</v>
      </c>
      <c r="DK43" s="206">
        <v>3</v>
      </c>
      <c r="DL43" s="39" t="s">
        <v>185</v>
      </c>
      <c r="DM43" s="39" t="s">
        <v>183</v>
      </c>
      <c r="DN43" s="39" t="s">
        <v>186</v>
      </c>
      <c r="DO43" s="39" t="s">
        <v>187</v>
      </c>
      <c r="DP43" s="39" t="s">
        <v>150</v>
      </c>
      <c r="DQ43" s="39" t="s">
        <v>188</v>
      </c>
      <c r="DR43" s="39" t="s">
        <v>150</v>
      </c>
      <c r="DS43" s="39" t="s">
        <v>188</v>
      </c>
      <c r="DT43" s="39" t="s">
        <v>150</v>
      </c>
      <c r="DU43" s="39" t="s">
        <v>188</v>
      </c>
      <c r="DV43" s="39" t="s">
        <v>150</v>
      </c>
      <c r="DW43" s="39" t="s">
        <v>188</v>
      </c>
    </row>
    <row r="44" spans="1:127" x14ac:dyDescent="0.15">
      <c r="A44" s="39" t="s">
        <v>74</v>
      </c>
      <c r="B44" s="36"/>
      <c r="C44" s="208" t="s">
        <v>41</v>
      </c>
      <c r="D44" s="48">
        <v>5.5</v>
      </c>
      <c r="E44" s="40">
        <f t="shared" ref="E44:E74" si="12">DEGREES(ASIN(COS(RADIANS($A$43))*COS(RADIANS($C$47))*COS(RADIANS(F44))+SIN(RADIANS($A$43))*SIN(RADIANS($C$47))))</f>
        <v>-19.047528127700708</v>
      </c>
      <c r="F44" s="181">
        <f t="shared" ref="F44:F74" si="13">15*(12-D44)</f>
        <v>97.5</v>
      </c>
      <c r="G44" s="40">
        <f>IF(COS(RADIANS(F44))&gt;=((TAN(RADIANS($C$47)))/(TAN(RADIANS($A$43)))),H44,IF(D44&lt;12,I44,J44))</f>
        <v>77.803335458325108</v>
      </c>
      <c r="H44" s="40">
        <f>DEGREES(ASIN(COS(RADIANS($C$47))*SIN(RADIANS(F44))/COS(RADIANS(E44))))</f>
        <v>77.803335458325108</v>
      </c>
      <c r="I44" s="40">
        <f>180-H44</f>
        <v>102.19666454167489</v>
      </c>
      <c r="J44" s="40">
        <f>180-H44-360</f>
        <v>-257.80333545832514</v>
      </c>
      <c r="K44" s="40">
        <f>ABS(1/SIN(RADIANS(E44)))</f>
        <v>3.0641726198912438</v>
      </c>
      <c r="L44" s="40">
        <f>IF(E44&gt;0,$C$51*EXP(-$C$53*K44),0)</f>
        <v>0</v>
      </c>
      <c r="M44" s="41">
        <f>COS(RADIANS(E44))*COS(RADIANS(G44-Insolation!$L$6))*SIN(RADIANS(0))+(SIN(RADIANS(E44))*COS(RADIANS(0)))</f>
        <v>-0.32635237111266036</v>
      </c>
      <c r="N44" s="41">
        <f>COS(RADIANS(E44))*COS(RADIANS(G44-Insolation!$L$6))*SIN(RADIANS(Insolation!$L$7))+SIN(RADIANS(E44))*COS(RADIANS(Insolation!$L$7))</f>
        <v>-0.21544382890387906</v>
      </c>
      <c r="O44" s="40">
        <f>L44*M44</f>
        <v>0</v>
      </c>
      <c r="P44" s="40">
        <f>$C$55*L44</f>
        <v>0</v>
      </c>
      <c r="Q44" s="40">
        <f>IF(N44&lt;0,0,L44*N44)</f>
        <v>0</v>
      </c>
      <c r="R44" s="40">
        <f>$C$55*L44*((1+COS(RADIANS(Insolation!$L$7)))/2)</f>
        <v>0</v>
      </c>
      <c r="S44" s="40">
        <f>L44*COS(RADIANS($C$47))</f>
        <v>0</v>
      </c>
      <c r="T44" s="40">
        <f>$C$55*L44*((1+COS(RADIANS(90-E44+$C$47)))/2)</f>
        <v>0</v>
      </c>
      <c r="U44" s="40">
        <f>L44</f>
        <v>0</v>
      </c>
      <c r="V44" s="40">
        <f>$C$55*L44*((1+COS(RADIANS(90-E44)))/2)</f>
        <v>0</v>
      </c>
      <c r="X44" s="208" t="s">
        <v>41</v>
      </c>
      <c r="Y44" s="48">
        <v>5.5</v>
      </c>
      <c r="Z44" s="40">
        <f>DEGREES(ASIN(COS(RADIANS($A$43))*COS(RADIANS($X$47))*COS(RADIANS(AA44))+SIN(RADIANS($A$43))*SIN(RADIANS($X$47))))</f>
        <v>-14.185741758716389</v>
      </c>
      <c r="AA44" s="181">
        <f t="shared" ref="AA44:AA74" si="14">15*(12-Y44)</f>
        <v>97.5</v>
      </c>
      <c r="AB44" s="40">
        <f>IF(COS(RADIANS(AA44))&gt;=((TAN(RADIANS($X$47)))/(TAN(RADIANS($A$43)))),AC44,IF(Y44&lt;12,AD44,AE44))</f>
        <v>84.410330914537795</v>
      </c>
      <c r="AC44" s="40">
        <f>DEGREES(ASIN(COS(RADIANS($X$47))*SIN(RADIANS(AA44))/COS(RADIANS(Z44))))</f>
        <v>84.410330914537795</v>
      </c>
      <c r="AD44" s="40">
        <f>180-AC44</f>
        <v>95.589669085462205</v>
      </c>
      <c r="AE44" s="40">
        <f>180-AC44-360</f>
        <v>-264.41033091453778</v>
      </c>
      <c r="AF44" s="40">
        <f>ABS(1/SIN(RADIANS(Z44)))</f>
        <v>4.0805312651451366</v>
      </c>
      <c r="AG44" s="40">
        <f>IF(Z44&gt;0,$X$51*EXP(-$X$53*AF44),0)</f>
        <v>0</v>
      </c>
      <c r="AH44" s="41">
        <f>COS(RADIANS(Z44))*COS(RADIANS(AB44-Insolation!$L$6))*SIN(RADIANS(0))+(SIN(RADIANS(Z44))*COS(RADIANS(0)))</f>
        <v>-0.24506612865382174</v>
      </c>
      <c r="AI44" s="41">
        <f>COS(RADIANS(Z44))*COS(RADIANS(AB44-Insolation!$L$6))*SIN(RADIANS(Insolation!$L$7))+SIN(RADIANS(Z44))*COS(RADIANS(Insolation!$L$7))</f>
        <v>-0.21007112503822084</v>
      </c>
      <c r="AJ44" s="40">
        <f>AG44*AH44</f>
        <v>0</v>
      </c>
      <c r="AK44" s="40">
        <f>$X$55*AG44</f>
        <v>0</v>
      </c>
      <c r="AL44" s="40">
        <f>IF(AI44&lt;0,0,AG44*AI44)</f>
        <v>0</v>
      </c>
      <c r="AM44" s="40">
        <f>$X$55*AG44*((1+COS(RADIANS(Insolation!$L$7)))/2)</f>
        <v>0</v>
      </c>
      <c r="AN44" s="40">
        <f>AG44*COS(RADIANS($X$47))</f>
        <v>0</v>
      </c>
      <c r="AO44" s="40">
        <f>$X$55*AG44*((1+COS(RADIANS(90-Z44+$X$47)))/2)</f>
        <v>0</v>
      </c>
      <c r="AP44" s="40">
        <f>AG44</f>
        <v>0</v>
      </c>
      <c r="AQ44" s="40">
        <f>$X$55*AG44*((1+COS(RADIANS(90-Z44)))/2)</f>
        <v>0</v>
      </c>
      <c r="AS44" s="208" t="s">
        <v>41</v>
      </c>
      <c r="AT44" s="48">
        <v>5.5</v>
      </c>
      <c r="AU44" s="40">
        <f>DEGREES(ASIN(COS(RADIANS($A$43))*COS(RADIANS($AS$47))*COS(RADIANS(AV44))+SIN(RADIANS($A$43))*SIN(RADIANS($AS$47))))</f>
        <v>-7.5550920738109548</v>
      </c>
      <c r="AV44" s="181">
        <f t="shared" ref="AV44:AV74" si="15">15*(12-AT44)</f>
        <v>97.5</v>
      </c>
      <c r="AW44" s="40">
        <f>IF(COS(RADIANS(AV44))&gt;=((TAN(RADIANS($AS$47)))/(TAN(RADIANS($A$43)))),AX44,IF(AT44&lt;12,AY44,AZ44))</f>
        <v>92.666925778624446</v>
      </c>
      <c r="AX44" s="40">
        <f>DEGREES(ASIN(COS(RADIANS($AS$47))*SIN(RADIANS(AV44))/COS(RADIANS(AU44))))</f>
        <v>87.333074221375554</v>
      </c>
      <c r="AY44" s="40">
        <f>180-AX44</f>
        <v>92.666925778624446</v>
      </c>
      <c r="AZ44" s="40">
        <f>180-AX44-360</f>
        <v>-267.33307422137557</v>
      </c>
      <c r="BA44" s="40">
        <f>ABS(1/SIN(RADIANS(AU44)))</f>
        <v>7.6057516801977547</v>
      </c>
      <c r="BB44" s="40">
        <f>IF(AU44&gt;0,$AS$51*EXP(-$AS$53*BA44),0)</f>
        <v>0</v>
      </c>
      <c r="BC44" s="41">
        <f>COS(RADIANS(AU44))*COS(RADIANS(AW44-Insolation!$L$6))*SIN(RADIANS(0))+(SIN(RADIANS(AU44))*COS(RADIANS(0)))</f>
        <v>-0.13147944372199111</v>
      </c>
      <c r="BD44" s="41">
        <f>COS(RADIANS(AU44))*COS(RADIANS(AW44-Insolation!$L$6))*SIN(RADIANS(Insolation!$L$7))+SIN(RADIANS(AU44))*COS(RADIANS(Insolation!$L$7))</f>
        <v>-0.19687780622255319</v>
      </c>
      <c r="BE44" s="40">
        <f>BB44*BC44</f>
        <v>0</v>
      </c>
      <c r="BF44" s="40">
        <f>$AS$55*BB44</f>
        <v>0</v>
      </c>
      <c r="BG44" s="40">
        <f>IF(BD44&lt;0,0,BB44*BD44)</f>
        <v>0</v>
      </c>
      <c r="BH44" s="40">
        <f>$AS$55*BB44*((1+COS(RADIANS(Insolation!$L$7)))/2)</f>
        <v>0</v>
      </c>
      <c r="BI44" s="40">
        <f>BB44*COS(RADIANS($AS$47))</f>
        <v>0</v>
      </c>
      <c r="BJ44" s="40">
        <f>$AS$55*BB44*((1+COS(RADIANS(90-AU44+$AS$47)))/2)</f>
        <v>0</v>
      </c>
      <c r="BK44" s="40">
        <f>BB44</f>
        <v>0</v>
      </c>
      <c r="BL44" s="40">
        <f>$AS$55*BB44*((1+COS(RADIANS(90-AU44)))/2)</f>
        <v>0</v>
      </c>
      <c r="BN44" s="208" t="s">
        <v>41</v>
      </c>
      <c r="BO44" s="48">
        <v>5.5</v>
      </c>
      <c r="BP44" s="40">
        <f>DEGREES(ASIN(COS(RADIANS($A$43))*COS(RADIANS($BN$47))*COS(RADIANS(BQ44))+SIN(RADIANS($A$43))*SIN(RADIANS($BN$47))))</f>
        <v>0.37281257535495338</v>
      </c>
      <c r="BQ44" s="181">
        <f t="shared" ref="BQ44:BQ74" si="16">15*(12-BO44)</f>
        <v>97.5</v>
      </c>
      <c r="BR44" s="40">
        <f>IF(COS(RADIANS(BQ44))&gt;=((TAN(RADIANS($BN$47)))/(TAN(RADIANS($A$43)))),BS44,IF(BO44&lt;12,BT44,BU44))</f>
        <v>102.01022497218418</v>
      </c>
      <c r="BS44" s="40">
        <f>DEGREES(ASIN(COS(RADIANS($BN$47))*SIN(RADIANS(BQ44))/COS(RADIANS(BP44))))</f>
        <v>77.989775027815824</v>
      </c>
      <c r="BT44" s="40">
        <f>180-BS44</f>
        <v>102.01022497218418</v>
      </c>
      <c r="BU44" s="40">
        <f>180-BS44-360</f>
        <v>-257.98977502781582</v>
      </c>
      <c r="BV44" s="40">
        <f>ABS(1/SIN(RADIANS(BP44)))</f>
        <v>153.68629602627962</v>
      </c>
      <c r="BW44" s="40">
        <f>IF(BP44&gt;0,$BN$51*EXP(-$BN$53*BV44),0)</f>
        <v>1.7536823894956626E-9</v>
      </c>
      <c r="BX44" s="41">
        <f>COS(RADIANS(BP44))*COS(RADIANS(BR44-Insolation!$L$6))*SIN(RADIANS(0))+(SIN(RADIANS(BP44))*COS(RADIANS(0)))</f>
        <v>6.5067610181001748E-3</v>
      </c>
      <c r="BY44" s="41">
        <f>COS(RADIANS(BP44))*COS(RADIANS(BR44-Insolation!$L$6))*SIN(RADIANS(Insolation!$L$7))+SIN(RADIANS(BP44))*COS(RADIANS(Insolation!$L$7))</f>
        <v>-0.17320038807225335</v>
      </c>
      <c r="BZ44" s="40">
        <f>BW44*BX44</f>
        <v>1.1410792210099144E-11</v>
      </c>
      <c r="CA44" s="40">
        <f>$BN$55*BW44</f>
        <v>1.726300251485839E-10</v>
      </c>
      <c r="CB44" s="40">
        <f>IF(BY44&lt;0,0,BW44*BY44)</f>
        <v>0</v>
      </c>
      <c r="CC44" s="40">
        <f>$BN$55*BW44*((1+COS(RADIANS(Insolation!$L$7)))/2)</f>
        <v>1.5753078570161977E-10</v>
      </c>
      <c r="CD44" s="40">
        <f>BW44*COS(RADIANS($BN$47))</f>
        <v>1.7300597154178838E-9</v>
      </c>
      <c r="CE44" s="40">
        <f>$BN$55*BW44*((1+COS(RADIANS(90-BP44+$BN$47)))/2)</f>
        <v>7.2749759999014231E-11</v>
      </c>
      <c r="CF44" s="40">
        <f>BW44</f>
        <v>1.7536823894956626E-9</v>
      </c>
      <c r="CG44" s="40">
        <f>$BN$55*BW44*((1+COS(RADIANS(90-BP44)))/2)</f>
        <v>8.687664373338718E-11</v>
      </c>
      <c r="CI44" s="208" t="s">
        <v>41</v>
      </c>
      <c r="CJ44" s="48">
        <v>5.5</v>
      </c>
      <c r="CK44" s="40">
        <f>DEGREES(ASIN(COS(RADIANS($A$43))*COS(RADIANS($CI$47))*COS(RADIANS(CL44))+SIN(RADIANS($A$43))*SIN(RADIANS($CI$47))))</f>
        <v>6.4538927677148257</v>
      </c>
      <c r="CL44" s="181">
        <f t="shared" ref="CL44:CL74" si="17">15*(12-CJ44)</f>
        <v>97.5</v>
      </c>
      <c r="CM44" s="40">
        <f>IF(COS(RADIANS(CL44))&gt;=((TAN(RADIANS($CI$47)))/(TAN(RADIANS($A$43)))),CN44,IF(CJ44&lt;12,CO44,CP44))</f>
        <v>109.16418271464353</v>
      </c>
      <c r="CN44" s="40">
        <f>DEGREES(ASIN(COS(RADIANS($CI$47))*SIN(RADIANS(CL44))/COS(RADIANS(CK44))))</f>
        <v>70.83581728535647</v>
      </c>
      <c r="CO44" s="40">
        <f>180-CN44</f>
        <v>109.16418271464353</v>
      </c>
      <c r="CP44" s="40">
        <f>180-CN44-360</f>
        <v>-250.83581728535648</v>
      </c>
      <c r="CQ44" s="40">
        <f>ABS(1/SIN(RADIANS(CK44)))</f>
        <v>8.8965100693339334</v>
      </c>
      <c r="CR44" s="40">
        <f>IF(CK44&gt;0,$CI$51*EXP(-$CI$53*CQ44),0)</f>
        <v>197.86198787195701</v>
      </c>
      <c r="CS44" s="41">
        <f>COS(RADIANS(CK44))*COS(RADIANS(CM44-Insolation!$L$6))*SIN(RADIANS(0))+(SIN(RADIANS(CK44))*COS(RADIANS(0)))</f>
        <v>0.11240362706349057</v>
      </c>
      <c r="CT44" s="41">
        <f>COS(RADIANS(CK44))*COS(RADIANS(CM44-Insolation!$L$6))*SIN(RADIANS(Insolation!$L$7))+SIN(RADIANS(CK44))*COS(RADIANS(Insolation!$L$7))</f>
        <v>-0.14965625619265754</v>
      </c>
      <c r="CU44" s="40">
        <f>CR44*CS44</f>
        <v>22.240405094800348</v>
      </c>
      <c r="CV44" s="40">
        <f>$CI$55*CR44</f>
        <v>23.282038289047509</v>
      </c>
      <c r="CW44" s="40">
        <f>IF(CT44&lt;0,0,CR44*CT44)</f>
        <v>0</v>
      </c>
      <c r="CX44" s="40">
        <f>$CI$55*CR44*((1+COS(RADIANS(Insolation!$L$7)))/2)</f>
        <v>21.245654000525615</v>
      </c>
      <c r="CY44" s="40">
        <f>CR44*COS(RADIANS($CI$47))</f>
        <v>187.31489750664326</v>
      </c>
      <c r="CZ44" s="40">
        <f>$CI$55*CR44*((1+COS(RADIANS(90-CK44+$CI$47)))/2)</f>
        <v>9.1535805791219147</v>
      </c>
      <c r="DA44" s="40">
        <f>CR44</f>
        <v>197.86198787195701</v>
      </c>
      <c r="DB44" s="40">
        <f>$CI$55*CR44*((1+COS(RADIANS(90-CK44)))/2)</f>
        <v>12.949511919083756</v>
      </c>
      <c r="DD44" s="208" t="s">
        <v>41</v>
      </c>
      <c r="DE44" s="48">
        <v>5.5</v>
      </c>
      <c r="DF44" s="40">
        <f>DEGREES(ASIN(COS(RADIANS($A$43))*COS(RADIANS($DD$47))*COS(RADIANS(DG44))+SIN(RADIANS($A$43))*SIN(RADIANS($DD$47))))</f>
        <v>9.3564340912551049</v>
      </c>
      <c r="DG44" s="181">
        <f t="shared" ref="DG44:DG74" si="18">15*(12-DE44)</f>
        <v>97.5</v>
      </c>
      <c r="DH44" s="40">
        <f>IF(COS(RADIANS(DG44))&gt;=((TAN(RADIANS($DD$47)))/(TAN(RADIANS($A$43)))),DI44,IF(DE44&lt;12,DJ44,DK44))</f>
        <v>112.66603146321818</v>
      </c>
      <c r="DI44" s="40">
        <f>DEGREES(ASIN(COS(RADIANS($DD$47))*SIN(RADIANS(DG44))/COS(RADIANS(DF44))))</f>
        <v>67.333968536781825</v>
      </c>
      <c r="DJ44" s="40">
        <f>180-DI44</f>
        <v>112.66603146321818</v>
      </c>
      <c r="DK44" s="40">
        <f>180-DI44-360</f>
        <v>-247.33396853678181</v>
      </c>
      <c r="DL44" s="40">
        <f>ABS(1/SIN(RADIANS(DF44)))</f>
        <v>6.1509785995555166</v>
      </c>
      <c r="DM44" s="40">
        <f>IF(DF44&gt;0,$DD$51*EXP(-$DD$53*DL44),0)</f>
        <v>307.0454738756635</v>
      </c>
      <c r="DN44" s="41">
        <f>COS(RADIANS(DF44))*COS(RADIANS(DH44-Insolation!$L$6))*SIN(RADIANS(0))+(SIN(RADIANS(DF44))*COS(RADIANS(0)))</f>
        <v>0.16257575665638996</v>
      </c>
      <c r="DO44" s="41">
        <f>COS(RADIANS(DF44))*COS(RADIANS(DH44-Insolation!$L$6))*SIN(RADIANS(Insolation!$L$7))+SIN(RADIANS(DF44))*COS(RADIANS(Insolation!$L$7))</f>
        <v>-0.13682827445195145</v>
      </c>
      <c r="DP44" s="40">
        <f>DM44*DN44</f>
        <v>49.918150243255809</v>
      </c>
      <c r="DQ44" s="40">
        <f>$DD$55*DM44</f>
        <v>40.309099456738338</v>
      </c>
      <c r="DR44" s="40">
        <f>IF(DO44&lt;0,0,DM44*DO44)</f>
        <v>0</v>
      </c>
      <c r="DS44" s="40">
        <f>$DD$55*DM44*((1+COS(RADIANS(Insolation!$L$7)))/2)</f>
        <v>36.783428044335274</v>
      </c>
      <c r="DT44" s="40">
        <f>DM44*COS(RADIANS($DD$47))</f>
        <v>281.97425062109477</v>
      </c>
      <c r="DU44" s="40">
        <f>$DD$55*DM44*((1+COS(RADIANS(90-DF44+$DD$47)))/2)</f>
        <v>15.293067618447379</v>
      </c>
      <c r="DV44" s="40">
        <f>DM44</f>
        <v>307.0454738756635</v>
      </c>
      <c r="DW44" s="40">
        <f>$DD$55*DM44*((1+COS(RADIANS(90-DF44)))/2)</f>
        <v>23.431190900527628</v>
      </c>
    </row>
    <row r="45" spans="1:127" x14ac:dyDescent="0.15">
      <c r="A45" s="48">
        <f>Time!P5</f>
        <v>75</v>
      </c>
      <c r="B45" s="36"/>
      <c r="C45" s="48">
        <f>B41</f>
        <v>15</v>
      </c>
      <c r="D45" s="48">
        <v>6</v>
      </c>
      <c r="E45" s="40">
        <f t="shared" si="12"/>
        <v>-13.484027554002163</v>
      </c>
      <c r="F45" s="181">
        <f t="shared" si="13"/>
        <v>90</v>
      </c>
      <c r="G45" s="40">
        <f t="shared" ref="G45:G74" si="19">IF(COS(RADIANS(F45))&gt;=((TAN(RADIANS($C$47)))/(TAN(RADIANS($A$43)))),H45,IF(D45&lt;12,I45,J45))</f>
        <v>73.395515662950388</v>
      </c>
      <c r="H45" s="40">
        <f t="shared" ref="H45:H74" si="20">DEGREES(ASIN(COS(RADIANS($C$47))*SIN(RADIANS(F45))/COS(RADIANS(E45))))</f>
        <v>73.395515662950388</v>
      </c>
      <c r="I45" s="40">
        <f t="shared" ref="I45:I74" si="21">180-H45</f>
        <v>106.60448433704961</v>
      </c>
      <c r="J45" s="40">
        <f t="shared" ref="J45:J74" si="22">180-H45-360</f>
        <v>-253.3955156629504</v>
      </c>
      <c r="K45" s="40">
        <f t="shared" ref="K45:K74" si="23">ABS(1/SIN(RADIANS(E45)))</f>
        <v>4.2886375650089974</v>
      </c>
      <c r="L45" s="40">
        <f t="shared" ref="L45:L74" si="24">IF(E45&gt;0,$C$51*EXP(-$C$53*K45),0)</f>
        <v>0</v>
      </c>
      <c r="M45" s="41">
        <f>COS(RADIANS(E45))*COS(RADIANS(G45-Insolation!$L$6))*SIN(RADIANS(0))+(SIN(RADIANS(E45))*COS(RADIANS(0)))</f>
        <v>-0.233174285502464</v>
      </c>
      <c r="N45" s="41">
        <f>COS(RADIANS(E45))*COS(RADIANS(G45-Insolation!$L$6))*SIN(RADIANS(Insolation!$L$7))+SIN(RADIANS(E45))*COS(RADIANS(Insolation!$L$7))</f>
        <v>-9.5167681887460026E-2</v>
      </c>
      <c r="O45" s="40">
        <f t="shared" ref="O45:O74" si="25">L45*M45</f>
        <v>0</v>
      </c>
      <c r="P45" s="40">
        <f t="shared" ref="P45:P74" si="26">$C$55*L45</f>
        <v>0</v>
      </c>
      <c r="Q45" s="40">
        <f t="shared" ref="Q45:Q74" si="27">IF(N45&lt;0,0,L45*N45)</f>
        <v>0</v>
      </c>
      <c r="R45" s="40">
        <f>$C$55*L45*((1+COS(RADIANS(Insolation!$L$7)))/2)</f>
        <v>0</v>
      </c>
      <c r="S45" s="40">
        <f t="shared" ref="S45:S74" si="28">L45*COS(RADIANS($C$47))</f>
        <v>0</v>
      </c>
      <c r="T45" s="40">
        <f t="shared" ref="T45:T74" si="29">$C$55*L45*((1+COS(RADIANS(90-E45+$C$47)))/2)</f>
        <v>0</v>
      </c>
      <c r="U45" s="40">
        <f t="shared" ref="U45:U74" si="30">L45</f>
        <v>0</v>
      </c>
      <c r="V45" s="40">
        <f t="shared" ref="V45:V74" si="31">$C$55*L45*((1+COS(RADIANS(90-E45)))/2)</f>
        <v>0</v>
      </c>
      <c r="X45" s="48">
        <f>C41</f>
        <v>46</v>
      </c>
      <c r="Y45" s="48">
        <v>6</v>
      </c>
      <c r="Z45" s="40">
        <f t="shared" ref="Z45:Z73" si="32">DEGREES(ASIN(COS(RADIANS($A$43))*COS(RADIANS($X$47))*COS(RADIANS(AA45))+SIN(RADIANS($A$43))*SIN(RADIANS($X$47))))</f>
        <v>-8.4968320325781246</v>
      </c>
      <c r="AA45" s="181">
        <f t="shared" si="14"/>
        <v>90</v>
      </c>
      <c r="AB45" s="40">
        <f t="shared" ref="AB45:AB74" si="33">IF(COS(RADIANS(AA45))&gt;=((TAN(RADIANS($X$47)))/(TAN(RADIANS($A$43)))),AC45,IF(Y45&lt;12,AD45,AE45))</f>
        <v>79.744302207582834</v>
      </c>
      <c r="AC45" s="40">
        <f t="shared" ref="AC45:AC74" si="34">DEGREES(ASIN(COS(RADIANS($X$47))*SIN(RADIANS(AA45))/COS(RADIANS(Z45))))</f>
        <v>79.744302207582834</v>
      </c>
      <c r="AD45" s="40">
        <f t="shared" ref="AD45:AD74" si="35">180-AC45</f>
        <v>100.25569779241717</v>
      </c>
      <c r="AE45" s="40">
        <f t="shared" ref="AE45:AE54" si="36">180-AC45-360</f>
        <v>-259.74430220758285</v>
      </c>
      <c r="AF45" s="40">
        <f t="shared" ref="AF45:AF74" si="37">ABS(1/SIN(RADIANS(Z45)))</f>
        <v>6.767972990487058</v>
      </c>
      <c r="AG45" s="40">
        <f t="shared" ref="AG45:AG73" si="38">IF(Z45&gt;0,$X$51*EXP(-$X$53*AF45),0)</f>
        <v>0</v>
      </c>
      <c r="AH45" s="41">
        <f>COS(RADIANS(Z45))*COS(RADIANS(AB45-Insolation!$L$6))*SIN(RADIANS(0))+(SIN(RADIANS(Z45))*COS(RADIANS(0)))</f>
        <v>-0.14775472677056811</v>
      </c>
      <c r="AI45" s="41">
        <f>COS(RADIANS(Z45))*COS(RADIANS(AB45-Insolation!$L$6))*SIN(RADIANS(Insolation!$L$7))+SIN(RADIANS(Z45))*COS(RADIANS(Insolation!$L$7))</f>
        <v>-8.4459610242264699E-2</v>
      </c>
      <c r="AJ45" s="40">
        <f t="shared" ref="AJ45:AJ74" si="39">AG45*AH45</f>
        <v>0</v>
      </c>
      <c r="AK45" s="40">
        <f t="shared" ref="AK45:AK74" si="40">$X$55*AG45</f>
        <v>0</v>
      </c>
      <c r="AL45" s="40">
        <f t="shared" ref="AL45:AL74" si="41">IF(AI45&lt;0,0,AG45*AI45)</f>
        <v>0</v>
      </c>
      <c r="AM45" s="40">
        <f>$X$55*AG45*((1+COS(RADIANS(Insolation!$L$7)))/2)</f>
        <v>0</v>
      </c>
      <c r="AN45" s="40">
        <f t="shared" ref="AN45:AN74" si="42">AG45*COS(RADIANS($X$47))</f>
        <v>0</v>
      </c>
      <c r="AO45" s="40">
        <f t="shared" ref="AO45:AO74" si="43">$X$55*AG45*((1+COS(RADIANS(90-Z45+$X$47)))/2)</f>
        <v>0</v>
      </c>
      <c r="AP45" s="40">
        <f t="shared" ref="AP45:AP74" si="44">AG45</f>
        <v>0</v>
      </c>
      <c r="AQ45" s="40">
        <f t="shared" ref="AQ45:AQ74" si="45">$X$55*AG45*((1+COS(RADIANS(90-Z45)))/2)</f>
        <v>0</v>
      </c>
      <c r="AS45" s="48">
        <f>D41</f>
        <v>74</v>
      </c>
      <c r="AT45" s="48">
        <v>6</v>
      </c>
      <c r="AU45" s="40">
        <f t="shared" ref="AU45:AU74" si="46">DEGREES(ASIN(COS(RADIANS($A$43))*COS(RADIANS($AS$47))*COS(RADIANS(AV45))+SIN(RADIANS($A$43))*SIN(RADIANS($AS$47))))</f>
        <v>-1.8115111787802072</v>
      </c>
      <c r="AV45" s="181">
        <f t="shared" si="15"/>
        <v>90</v>
      </c>
      <c r="AW45" s="40">
        <f t="shared" ref="AW45:AW73" si="47">IF(COS(RADIANS(AV45))&gt;=((TAN(RADIANS($AS$47)))/(TAN(RADIANS($A$43)))),AX45,IF(AT45&lt;12,AY45,AZ45))</f>
        <v>87.839893722894359</v>
      </c>
      <c r="AX45" s="40">
        <f t="shared" ref="AX45:AX74" si="48">DEGREES(ASIN(COS(RADIANS($AS$47))*SIN(RADIANS(AV45))/COS(RADIANS(AU45))))</f>
        <v>87.839893722894359</v>
      </c>
      <c r="AY45" s="40">
        <f t="shared" ref="AY45:AY74" si="49">180-AX45</f>
        <v>92.160106277105641</v>
      </c>
      <c r="AZ45" s="40">
        <f t="shared" ref="AZ45:AZ54" si="50">180-AX45-360</f>
        <v>-267.83989372289437</v>
      </c>
      <c r="BA45" s="40">
        <f t="shared" ref="BA45:BA67" si="51">ABS(1/SIN(RADIANS(AU45)))</f>
        <v>31.633989900755154</v>
      </c>
      <c r="BB45" s="40">
        <f t="shared" ref="BB45:BB74" si="52">IF(AU45&gt;0,$AS$51*EXP(-$AS$53*BA45),0)</f>
        <v>0</v>
      </c>
      <c r="BC45" s="41">
        <f>COS(RADIANS(AU45))*COS(RADIANS(AW45-Insolation!$L$6))*SIN(RADIANS(0))+(SIN(RADIANS(AU45))*COS(RADIANS(0)))</f>
        <v>-3.1611567277390083E-2</v>
      </c>
      <c r="BD45" s="41">
        <f>COS(RADIANS(AU45))*COS(RADIANS(AW45-Insolation!$L$6))*SIN(RADIANS(Insolation!$L$7))+SIN(RADIANS(AU45))*COS(RADIANS(Insolation!$L$7))</f>
        <v>-6.79663426438889E-2</v>
      </c>
      <c r="BE45" s="40">
        <f t="shared" ref="BE45:BE74" si="53">BB45*BC45</f>
        <v>0</v>
      </c>
      <c r="BF45" s="40">
        <f t="shared" ref="BF45:BF74" si="54">$AS$55*BB45</f>
        <v>0</v>
      </c>
      <c r="BG45" s="40">
        <f t="shared" ref="BG45:BG74" si="55">IF(BD45&lt;0,0,BB45*BD45)</f>
        <v>0</v>
      </c>
      <c r="BH45" s="40">
        <f>$AS$55*BB45*((1+COS(RADIANS(Insolation!$L$7)))/2)</f>
        <v>0</v>
      </c>
      <c r="BI45" s="40">
        <f t="shared" ref="BI45:BI74" si="56">BB45*COS(RADIANS($AS$47))</f>
        <v>0</v>
      </c>
      <c r="BJ45" s="40">
        <f t="shared" ref="BJ45:BJ74" si="57">$AS$55*BB45*((1+COS(RADIANS(90-AU45+$AS$47)))/2)</f>
        <v>0</v>
      </c>
      <c r="BK45" s="40">
        <f t="shared" ref="BK45:BK74" si="58">BB45</f>
        <v>0</v>
      </c>
      <c r="BL45" s="40">
        <f t="shared" ref="BL45:BL74" si="59">$AS$55*BB45*((1+COS(RADIANS(90-AU45)))/2)</f>
        <v>0</v>
      </c>
      <c r="BN45" s="48">
        <f>E41</f>
        <v>105</v>
      </c>
      <c r="BO45" s="48">
        <v>6</v>
      </c>
      <c r="BP45" s="40">
        <f t="shared" ref="BP45:BP74" si="60">DEGREES(ASIN(COS(RADIANS($A$43))*COS(RADIANS($BN$47))*COS(RADIANS(BQ45))+SIN(RADIANS($A$43))*SIN(RADIANS($BN$47))))</f>
        <v>6.0357363234807337</v>
      </c>
      <c r="BQ45" s="181">
        <f t="shared" si="16"/>
        <v>90</v>
      </c>
      <c r="BR45" s="40">
        <f t="shared" ref="BR45:BR74" si="61">IF(COS(RADIANS(BQ45))&gt;=((TAN(RADIANS($BN$47)))/(TAN(RADIANS($A$43)))),BS45,IF(BO45&lt;12,BT45,BU45))</f>
        <v>97.239081525079499</v>
      </c>
      <c r="BS45" s="40">
        <f t="shared" ref="BS45:BS74" si="62">DEGREES(ASIN(COS(RADIANS($BN$47))*SIN(RADIANS(BQ45))/COS(RADIANS(BP45))))</f>
        <v>82.760918474920501</v>
      </c>
      <c r="BT45" s="40">
        <f t="shared" ref="BT45:BT74" si="63">180-BS45</f>
        <v>97.239081525079499</v>
      </c>
      <c r="BU45" s="40">
        <f t="shared" ref="BU45:BU54" si="64">180-BS45-360</f>
        <v>-262.76091847492052</v>
      </c>
      <c r="BV45" s="40">
        <f t="shared" ref="BV45:BV67" si="65">ABS(1/SIN(RADIANS(BP45)))</f>
        <v>9.5103372146659826</v>
      </c>
      <c r="BW45" s="40">
        <f t="shared" ref="BW45:BW74" si="66">IF(BP45&gt;0,$BN$51*EXP(-$BN$53*BV45),0)</f>
        <v>212.48274835856009</v>
      </c>
      <c r="BX45" s="41">
        <f>COS(RADIANS(BP45))*COS(RADIANS(BR45-Insolation!$L$6))*SIN(RADIANS(0))+(SIN(RADIANS(BP45))*COS(RADIANS(0)))</f>
        <v>0.10514874261849416</v>
      </c>
      <c r="BY45" s="41">
        <f>COS(RADIANS(BP45))*COS(RADIANS(BR45-Insolation!$L$6))*SIN(RADIANS(Insolation!$L$7))+SIN(RADIANS(BP45))*COS(RADIANS(Insolation!$L$7))</f>
        <v>-4.587133421517732E-2</v>
      </c>
      <c r="BZ45" s="40">
        <f t="shared" ref="BZ45:BZ74" si="67">BW45*BX45</f>
        <v>22.342293818024498</v>
      </c>
      <c r="CA45" s="40">
        <f t="shared" ref="CA45:CA74" si="68">$BN$55*BW45</f>
        <v>20.916502561976134</v>
      </c>
      <c r="CB45" s="40">
        <f t="shared" ref="CB45:CB74" si="69">IF(BY45&lt;0,0,BW45*BY45)</f>
        <v>0</v>
      </c>
      <c r="CC45" s="40">
        <f>$BN$55*BW45*((1+COS(RADIANS(Insolation!$L$7)))/2)</f>
        <v>19.08702197014696</v>
      </c>
      <c r="CD45" s="40">
        <f t="shared" ref="CD45:CD74" si="70">BW45*COS(RADIANS($BN$47))</f>
        <v>209.62053639720915</v>
      </c>
      <c r="CE45" s="40">
        <f t="shared" ref="CE45:CE74" si="71">$BN$55*BW45*((1+COS(RADIANS(90-BP45+$BN$47)))/2)</f>
        <v>9.8418081556401056</v>
      </c>
      <c r="CF45" s="40">
        <f t="shared" ref="CF45:CF74" si="72">BW45</f>
        <v>212.48274835856009</v>
      </c>
      <c r="CG45" s="40">
        <f t="shared" ref="CG45:CG74" si="73">$BN$55*BW45*((1+COS(RADIANS(90-BP45)))/2)</f>
        <v>11.55792325317222</v>
      </c>
      <c r="CI45" s="48">
        <f>F41</f>
        <v>135</v>
      </c>
      <c r="CJ45" s="48">
        <v>6</v>
      </c>
      <c r="CK45" s="40">
        <f t="shared" ref="CK45:CK74" si="74">DEGREES(ASIN(COS(RADIANS($A$43))*COS(RADIANS($CI$47))*COS(RADIANS(CL45))+SIN(RADIANS($A$43))*SIN(RADIANS($CI$47))))</f>
        <v>11.950265831290269</v>
      </c>
      <c r="CL45" s="181">
        <f t="shared" si="17"/>
        <v>90</v>
      </c>
      <c r="CM45" s="40">
        <f t="shared" ref="CM45:CM73" si="75">IF(COS(RADIANS(CL45))&gt;=((TAN(RADIANS($CI$47)))/(TAN(RADIANS($A$43)))),CN45,IF(CJ45&lt;12,CO45,CP45))</f>
        <v>104.60975037028339</v>
      </c>
      <c r="CN45" s="40">
        <f t="shared" ref="CN45:CN74" si="76">DEGREES(ASIN(COS(RADIANS($CI$47))*SIN(RADIANS(CL45))/COS(RADIANS(CK45))))</f>
        <v>75.390249629716607</v>
      </c>
      <c r="CO45" s="40">
        <f t="shared" ref="CO45:CO74" si="77">180-CN45</f>
        <v>104.60975037028339</v>
      </c>
      <c r="CP45" s="40">
        <f t="shared" ref="CP45:CP54" si="78">180-CN45-360</f>
        <v>-255.39024962971661</v>
      </c>
      <c r="CQ45" s="40">
        <f t="shared" ref="CQ45:CQ67" si="79">ABS(1/SIN(RADIANS(CK45)))</f>
        <v>4.8294583973449559</v>
      </c>
      <c r="CR45" s="40">
        <f t="shared" ref="CR45:CR74" si="80">IF(CK45&gt;0,$CI$51*EXP(-$CI$53*CQ45),0)</f>
        <v>435.24319072983769</v>
      </c>
      <c r="CS45" s="41">
        <f>COS(RADIANS(CK45))*COS(RADIANS(CM45-Insolation!$L$6))*SIN(RADIANS(0))+(SIN(RADIANS(CK45))*COS(RADIANS(0)))</f>
        <v>0.20706255603107798</v>
      </c>
      <c r="CT45" s="41">
        <f>COS(RADIANS(CK45))*COS(RADIANS(CM45-Insolation!$L$6))*SIN(RADIANS(Insolation!$L$7))+SIN(RADIANS(CK45))*COS(RADIANS(Insolation!$L$7))</f>
        <v>-2.7468606785998384E-2</v>
      </c>
      <c r="CU45" s="40">
        <f t="shared" ref="CU45:CU74" si="81">CR45*CS45</f>
        <v>90.122567567642179</v>
      </c>
      <c r="CV45" s="40">
        <f t="shared" ref="CV45:CV74" si="82">$CI$55*CR45</f>
        <v>51.214226343348535</v>
      </c>
      <c r="CW45" s="40">
        <f t="shared" ref="CW45:CW74" si="83">IF(CT45&lt;0,0,CR45*CT45)</f>
        <v>0</v>
      </c>
      <c r="CX45" s="40">
        <f>$CI$55*CR45*((1+COS(RADIANS(Insolation!$L$7)))/2)</f>
        <v>46.734728260766104</v>
      </c>
      <c r="CY45" s="40">
        <f t="shared" ref="CY45:CY74" si="84">CR45*COS(RADIANS($CI$47))</f>
        <v>412.04242683937389</v>
      </c>
      <c r="CZ45" s="40">
        <f>$CI$55*CR45*((1+COS(RADIANS(90-CK45+$CI$47)))/2)</f>
        <v>22.556645784302773</v>
      </c>
      <c r="DA45" s="40">
        <f t="shared" ref="DA45:DA74" si="85">CR45</f>
        <v>435.24319072983769</v>
      </c>
      <c r="DB45" s="40">
        <f t="shared" ref="DB45:DB74" si="86">$CI$55*CR45*((1+COS(RADIANS(90-CK45)))/2)</f>
        <v>30.909387477578225</v>
      </c>
      <c r="DD45" s="48">
        <f>G41</f>
        <v>166</v>
      </c>
      <c r="DE45" s="48">
        <v>6</v>
      </c>
      <c r="DF45" s="40">
        <f t="shared" ref="DF45:DF74" si="87">DEGREES(ASIN(COS(RADIANS($A$43))*COS(RADIANS($DD$47))*COS(RADIANS(DG45))+SIN(RADIANS($A$43))*SIN(RADIANS($DD$47))))</f>
        <v>14.738048130875322</v>
      </c>
      <c r="DG45" s="181">
        <f t="shared" si="18"/>
        <v>90</v>
      </c>
      <c r="DH45" s="40">
        <f t="shared" ref="DH45:DH74" si="88">IF(COS(RADIANS(DG45))&gt;=((TAN(RADIANS($DD$47)))/(TAN(RADIANS($A$43)))),DI45,IF(DE45&lt;12,DJ45,DK45))</f>
        <v>108.27008598134283</v>
      </c>
      <c r="DI45" s="40">
        <f t="shared" ref="DI45:DI74" si="89">DEGREES(ASIN(COS(RADIANS($DD$47))*SIN(RADIANS(DG45))/COS(RADIANS(DF45))))</f>
        <v>71.729914018657169</v>
      </c>
      <c r="DJ45" s="40">
        <f t="shared" ref="DJ45:DJ74" si="90">180-DI45</f>
        <v>108.27008598134283</v>
      </c>
      <c r="DK45" s="40">
        <f t="shared" ref="DK45:DK54" si="91">180-DI45-360</f>
        <v>-251.72991401865715</v>
      </c>
      <c r="DL45" s="40">
        <f t="shared" ref="DL45:DL67" si="92">ABS(1/SIN(RADIANS(DF45)))</f>
        <v>3.9308142509585817</v>
      </c>
      <c r="DM45" s="40">
        <f t="shared" ref="DM45:DM74" si="93">IF(DF45&gt;0,$DD$51*EXP(-$DD$53*DL45),0)</f>
        <v>484.82337397021917</v>
      </c>
      <c r="DN45" s="41">
        <f>COS(RADIANS(DF45))*COS(RADIANS(DH45-Insolation!$L$6))*SIN(RADIANS(0))+(SIN(RADIANS(DF45))*COS(RADIANS(0)))</f>
        <v>0.25440021739926699</v>
      </c>
      <c r="DO45" s="41">
        <f>COS(RADIANS(DF45))*COS(RADIANS(DH45-Insolation!$L$6))*SIN(RADIANS(Insolation!$L$7))+SIN(RADIANS(DF45))*COS(RADIANS(Insolation!$L$7))</f>
        <v>-1.8299413640014334E-2</v>
      </c>
      <c r="DP45" s="40">
        <f t="shared" ref="DP45:DP74" si="94">DM45*DN45</f>
        <v>123.33917173826988</v>
      </c>
      <c r="DQ45" s="40">
        <f t="shared" ref="DQ45:DQ74" si="95">$DD$55*DM45</f>
        <v>63.64788040559349</v>
      </c>
      <c r="DR45" s="40">
        <f t="shared" ref="DR45:DR74" si="96">IF(DO45&lt;0,0,DM45*DO45)</f>
        <v>0</v>
      </c>
      <c r="DS45" s="40">
        <f>$DD$55*DM45*((1+COS(RADIANS(Insolation!$L$7)))/2)</f>
        <v>58.080861657211663</v>
      </c>
      <c r="DT45" s="40">
        <f t="shared" ref="DT45:DT74" si="97">DM45*COS(RADIANS($DD$47))</f>
        <v>445.2360291563927</v>
      </c>
      <c r="DU45" s="40">
        <f t="shared" ref="DU45:DU74" si="98">$DD$55*DM45*((1+COS(RADIANS(90-DF45+$DD$47)))/2)</f>
        <v>27.078118590424875</v>
      </c>
      <c r="DV45" s="40">
        <f t="shared" ref="DV45:DV74" si="99">DM45</f>
        <v>484.82337397021917</v>
      </c>
      <c r="DW45" s="40">
        <f t="shared" ref="DW45:DW74" si="100">$DD$55*DM45*((1+COS(RADIANS(90-DF45)))/2)</f>
        <v>39.91995750888951</v>
      </c>
    </row>
    <row r="46" spans="1:127" x14ac:dyDescent="0.15">
      <c r="A46" s="203"/>
      <c r="C46" s="208" t="s">
        <v>177</v>
      </c>
      <c r="D46" s="48">
        <v>6.5</v>
      </c>
      <c r="E46" s="40">
        <f t="shared" si="12"/>
        <v>-8.0476263515936388</v>
      </c>
      <c r="F46" s="181">
        <f t="shared" si="13"/>
        <v>82.5</v>
      </c>
      <c r="G46" s="40">
        <f t="shared" si="19"/>
        <v>68.923541538335996</v>
      </c>
      <c r="H46" s="40">
        <f t="shared" si="20"/>
        <v>68.923541538335996</v>
      </c>
      <c r="I46" s="40">
        <f t="shared" si="21"/>
        <v>111.076458461664</v>
      </c>
      <c r="J46" s="40">
        <f t="shared" si="22"/>
        <v>-248.923541538336</v>
      </c>
      <c r="K46" s="40">
        <f t="shared" si="23"/>
        <v>7.143051031167543</v>
      </c>
      <c r="L46" s="40">
        <f t="shared" si="24"/>
        <v>0</v>
      </c>
      <c r="M46" s="41">
        <f>COS(RADIANS(E46))*COS(RADIANS(G46-Insolation!$L$6))*SIN(RADIANS(0))+(SIN(RADIANS(E46))*COS(RADIANS(0)))</f>
        <v>-0.13999619989226766</v>
      </c>
      <c r="N46" s="41">
        <f>COS(RADIANS(E46))*COS(RADIANS(G46-Insolation!$L$6))*SIN(RADIANS(Insolation!$L$7))+SIN(RADIANS(E46))*COS(RADIANS(Insolation!$L$7))</f>
        <v>2.6114811973397919E-2</v>
      </c>
      <c r="O46" s="40">
        <f t="shared" si="25"/>
        <v>0</v>
      </c>
      <c r="P46" s="40">
        <f t="shared" si="26"/>
        <v>0</v>
      </c>
      <c r="Q46" s="40">
        <f t="shared" si="27"/>
        <v>0</v>
      </c>
      <c r="R46" s="40">
        <f>$C$55*L46*((1+COS(RADIANS(Insolation!$L$7)))/2)</f>
        <v>0</v>
      </c>
      <c r="S46" s="40">
        <f t="shared" si="28"/>
        <v>0</v>
      </c>
      <c r="T46" s="40">
        <f t="shared" si="29"/>
        <v>0</v>
      </c>
      <c r="U46" s="40">
        <f t="shared" si="30"/>
        <v>0</v>
      </c>
      <c r="V46" s="40">
        <f t="shared" si="31"/>
        <v>0</v>
      </c>
      <c r="X46" s="208" t="s">
        <v>177</v>
      </c>
      <c r="Y46" s="48">
        <v>6.5</v>
      </c>
      <c r="Z46" s="40">
        <f t="shared" si="32"/>
        <v>-2.8914167214773325</v>
      </c>
      <c r="AA46" s="181">
        <f t="shared" si="14"/>
        <v>82.5</v>
      </c>
      <c r="AB46" s="40">
        <f t="shared" si="33"/>
        <v>75.044442478589247</v>
      </c>
      <c r="AC46" s="40">
        <f t="shared" si="34"/>
        <v>75.044442478589247</v>
      </c>
      <c r="AD46" s="40">
        <f t="shared" si="35"/>
        <v>104.95555752141075</v>
      </c>
      <c r="AE46" s="40">
        <f t="shared" si="36"/>
        <v>-255.04444247858925</v>
      </c>
      <c r="AF46" s="40">
        <f t="shared" si="37"/>
        <v>19.824228522483477</v>
      </c>
      <c r="AG46" s="40">
        <f t="shared" si="38"/>
        <v>0</v>
      </c>
      <c r="AH46" s="41">
        <f>COS(RADIANS(Z46))*COS(RADIANS(AB46-Insolation!$L$6))*SIN(RADIANS(0))+(SIN(RADIANS(Z46))*COS(RADIANS(0)))</f>
        <v>-5.0443324887314463E-2</v>
      </c>
      <c r="AI46" s="41">
        <f>COS(RADIANS(Z46))*COS(RADIANS(AB46-Insolation!$L$6))*SIN(RADIANS(Insolation!$L$7))+SIN(RADIANS(Z46))*COS(RADIANS(Insolation!$L$7))</f>
        <v>4.2202892257203674E-2</v>
      </c>
      <c r="AJ46" s="40">
        <f t="shared" si="39"/>
        <v>0</v>
      </c>
      <c r="AK46" s="40">
        <f t="shared" si="40"/>
        <v>0</v>
      </c>
      <c r="AL46" s="40">
        <f t="shared" si="41"/>
        <v>0</v>
      </c>
      <c r="AM46" s="40">
        <f>$X$55*AG46*((1+COS(RADIANS(Insolation!$L$7)))/2)</f>
        <v>0</v>
      </c>
      <c r="AN46" s="40">
        <f t="shared" si="42"/>
        <v>0</v>
      </c>
      <c r="AO46" s="40">
        <f t="shared" si="43"/>
        <v>0</v>
      </c>
      <c r="AP46" s="40">
        <f t="shared" si="44"/>
        <v>0</v>
      </c>
      <c r="AQ46" s="40">
        <f t="shared" si="45"/>
        <v>0</v>
      </c>
      <c r="AS46" s="208" t="s">
        <v>177</v>
      </c>
      <c r="AT46" s="48">
        <v>6.5</v>
      </c>
      <c r="AU46" s="40">
        <f t="shared" si="46"/>
        <v>3.9138415098745298</v>
      </c>
      <c r="AV46" s="181">
        <f t="shared" si="15"/>
        <v>82.5</v>
      </c>
      <c r="AW46" s="40">
        <f t="shared" si="47"/>
        <v>83.006528112027183</v>
      </c>
      <c r="AX46" s="40">
        <f t="shared" si="48"/>
        <v>83.006528112027183</v>
      </c>
      <c r="AY46" s="40">
        <f t="shared" si="49"/>
        <v>96.993471887972817</v>
      </c>
      <c r="AZ46" s="40">
        <f t="shared" si="50"/>
        <v>-263.00652811202718</v>
      </c>
      <c r="BA46" s="40">
        <f t="shared" si="51"/>
        <v>14.65066031552116</v>
      </c>
      <c r="BB46" s="40">
        <f t="shared" si="52"/>
        <v>115.45927616474299</v>
      </c>
      <c r="BC46" s="41">
        <f>COS(RADIANS(AU46))*COS(RADIANS(AW46-Insolation!$L$6))*SIN(RADIANS(0))+(SIN(RADIANS(AU46))*COS(RADIANS(0)))</f>
        <v>6.8256309167210913E-2</v>
      </c>
      <c r="BD46" s="41">
        <f>COS(RADIANS(AU46))*COS(RADIANS(AW46-Insolation!$L$6))*SIN(RADIANS(Insolation!$L$7))+SIN(RADIANS(AU46))*COS(RADIANS(Insolation!$L$7))</f>
        <v>6.2023719208849859E-2</v>
      </c>
      <c r="BE46" s="40">
        <f t="shared" si="53"/>
        <v>7.8808240501230831</v>
      </c>
      <c r="BF46" s="40">
        <f t="shared" si="54"/>
        <v>8.9699129693449642</v>
      </c>
      <c r="BG46" s="40">
        <f t="shared" si="55"/>
        <v>7.1612137248990706</v>
      </c>
      <c r="BH46" s="40">
        <f>$AS$55*BB46*((1+COS(RADIANS(Insolation!$L$7)))/2)</f>
        <v>8.1853515141404287</v>
      </c>
      <c r="BI46" s="40">
        <f t="shared" si="56"/>
        <v>115.31956898410029</v>
      </c>
      <c r="BJ46" s="40">
        <f t="shared" si="57"/>
        <v>5.0107633311025017</v>
      </c>
      <c r="BK46" s="40">
        <f t="shared" si="58"/>
        <v>115.45927616474299</v>
      </c>
      <c r="BL46" s="40">
        <f t="shared" si="59"/>
        <v>4.7910830610917738</v>
      </c>
      <c r="BN46" s="208" t="s">
        <v>177</v>
      </c>
      <c r="BO46" s="48">
        <v>6.5</v>
      </c>
      <c r="BP46" s="40">
        <f t="shared" si="60"/>
        <v>11.758718352744111</v>
      </c>
      <c r="BQ46" s="181">
        <f t="shared" si="16"/>
        <v>82.5</v>
      </c>
      <c r="BR46" s="40">
        <f t="shared" si="61"/>
        <v>92.490447433309114</v>
      </c>
      <c r="BS46" s="40">
        <f t="shared" si="62"/>
        <v>87.509552566690886</v>
      </c>
      <c r="BT46" s="40">
        <f t="shared" si="63"/>
        <v>92.490447433309114</v>
      </c>
      <c r="BU46" s="40">
        <f t="shared" si="64"/>
        <v>-267.5095525666909</v>
      </c>
      <c r="BV46" s="40">
        <f t="shared" si="65"/>
        <v>4.906994682083357</v>
      </c>
      <c r="BW46" s="40">
        <f t="shared" si="66"/>
        <v>479.95521191829562</v>
      </c>
      <c r="BX46" s="41">
        <f>COS(RADIANS(BP46))*COS(RADIANS(BR46-Insolation!$L$6))*SIN(RADIANS(0))+(SIN(RADIANS(BP46))*COS(RADIANS(0)))</f>
        <v>0.20379072421888814</v>
      </c>
      <c r="BY46" s="41">
        <f>COS(RADIANS(BP46))*COS(RADIANS(BR46-Insolation!$L$6))*SIN(RADIANS(Insolation!$L$7))+SIN(RADIANS(BP46))*COS(RADIANS(Insolation!$L$7))</f>
        <v>8.2523077942217554E-2</v>
      </c>
      <c r="BZ46" s="40">
        <f t="shared" si="67"/>
        <v>97.810420229459396</v>
      </c>
      <c r="CA46" s="40">
        <f t="shared" si="68"/>
        <v>47.246115260059874</v>
      </c>
      <c r="CB46" s="40">
        <f t="shared" si="69"/>
        <v>39.607381361907052</v>
      </c>
      <c r="CC46" s="40">
        <f>$BN$55*BW46*((1+COS(RADIANS(Insolation!$L$7)))/2)</f>
        <v>43.113691560089379</v>
      </c>
      <c r="CD46" s="40">
        <f t="shared" si="70"/>
        <v>473.49005858666078</v>
      </c>
      <c r="CE46" s="40">
        <f t="shared" si="71"/>
        <v>24.589147498050629</v>
      </c>
      <c r="CF46" s="40">
        <f t="shared" si="72"/>
        <v>479.95521191829562</v>
      </c>
      <c r="CG46" s="40">
        <f t="shared" si="73"/>
        <v>28.437217652718267</v>
      </c>
      <c r="CI46" s="208" t="s">
        <v>177</v>
      </c>
      <c r="CJ46" s="48">
        <v>6.5</v>
      </c>
      <c r="CK46" s="40">
        <f t="shared" si="74"/>
        <v>17.561028879503965</v>
      </c>
      <c r="CL46" s="181">
        <f t="shared" si="17"/>
        <v>82.5</v>
      </c>
      <c r="CM46" s="40">
        <f t="shared" si="75"/>
        <v>100.10887068713902</v>
      </c>
      <c r="CN46" s="40">
        <f t="shared" si="76"/>
        <v>79.891129312860983</v>
      </c>
      <c r="CO46" s="40">
        <f t="shared" si="77"/>
        <v>100.10887068713902</v>
      </c>
      <c r="CP46" s="40">
        <f t="shared" si="78"/>
        <v>-259.89112931286098</v>
      </c>
      <c r="CQ46" s="40">
        <f t="shared" si="79"/>
        <v>3.3143148556504798</v>
      </c>
      <c r="CR46" s="40">
        <f t="shared" si="80"/>
        <v>583.81965078833264</v>
      </c>
      <c r="CS46" s="41">
        <f>COS(RADIANS(CK46))*COS(RADIANS(CM46-Insolation!$L$6))*SIN(RADIANS(0))+(SIN(RADIANS(CK46))*COS(RADIANS(0)))</f>
        <v>0.30172148499866536</v>
      </c>
      <c r="CT46" s="41">
        <f>COS(RADIANS(CK46))*COS(RADIANS(CM46-Insolation!$L$6))*SIN(RADIANS(Insolation!$L$7))+SIN(RADIANS(CK46))*COS(RADIANS(Insolation!$L$7))</f>
        <v>9.5741382947150705E-2</v>
      </c>
      <c r="CU46" s="40">
        <f t="shared" si="81"/>
        <v>176.15093200725795</v>
      </c>
      <c r="CV46" s="40">
        <f t="shared" si="82"/>
        <v>68.696931683252203</v>
      </c>
      <c r="CW46" s="40">
        <f t="shared" si="83"/>
        <v>55.895700758197549</v>
      </c>
      <c r="CX46" s="40">
        <f>$CI$55*CR46*((1+COS(RADIANS(Insolation!$L$7)))/2)</f>
        <v>62.688293152009592</v>
      </c>
      <c r="CY46" s="40">
        <f t="shared" si="84"/>
        <v>552.6989758161634</v>
      </c>
      <c r="CZ46" s="40">
        <f t="shared" ref="CZ46:CZ74" si="101">$CI$55*CR46*((1+COS(RADIANS(90-CK46+$CI$47)))/2)</f>
        <v>33.610612466491851</v>
      </c>
      <c r="DA46" s="40">
        <f t="shared" si="85"/>
        <v>583.81965078833264</v>
      </c>
      <c r="DB46" s="40">
        <f t="shared" si="86"/>
        <v>44.712135962787464</v>
      </c>
      <c r="DD46" s="208" t="s">
        <v>177</v>
      </c>
      <c r="DE46" s="48">
        <v>6.5</v>
      </c>
      <c r="DF46" s="40">
        <f t="shared" si="87"/>
        <v>20.256572607366078</v>
      </c>
      <c r="DG46" s="181">
        <f t="shared" si="18"/>
        <v>82.5</v>
      </c>
      <c r="DH46" s="40">
        <f t="shared" si="88"/>
        <v>103.9479574413581</v>
      </c>
      <c r="DI46" s="40">
        <f t="shared" si="89"/>
        <v>76.052042558641901</v>
      </c>
      <c r="DJ46" s="40">
        <f t="shared" si="90"/>
        <v>103.9479574413581</v>
      </c>
      <c r="DK46" s="40">
        <f t="shared" si="91"/>
        <v>-256.05204255864192</v>
      </c>
      <c r="DL46" s="40">
        <f t="shared" si="92"/>
        <v>2.8882978687886762</v>
      </c>
      <c r="DM46" s="40">
        <f t="shared" si="93"/>
        <v>600.80936283800827</v>
      </c>
      <c r="DN46" s="41">
        <f>COS(RADIANS(DF46))*COS(RADIANS(DH46-Insolation!$L$6))*SIN(RADIANS(0))+(SIN(RADIANS(DF46))*COS(RADIANS(0)))</f>
        <v>0.34622467814214403</v>
      </c>
      <c r="DO46" s="41">
        <f>COS(RADIANS(DF46))*COS(RADIANS(DH46-Insolation!$L$6))*SIN(RADIANS(Insolation!$L$7))+SIN(RADIANS(DF46))*COS(RADIANS(Insolation!$L$7))</f>
        <v>0.10122117452611401</v>
      </c>
      <c r="DP46" s="40">
        <f t="shared" si="94"/>
        <v>208.01502827337603</v>
      </c>
      <c r="DQ46" s="40">
        <f t="shared" si="95"/>
        <v>78.874585107819755</v>
      </c>
      <c r="DR46" s="40">
        <f t="shared" si="96"/>
        <v>60.814629372749394</v>
      </c>
      <c r="DS46" s="40">
        <f>$DD$55*DM46*((1+COS(RADIANS(Insolation!$L$7)))/2)</f>
        <v>71.975749022973758</v>
      </c>
      <c r="DT46" s="40">
        <f t="shared" si="97"/>
        <v>551.75139927640691</v>
      </c>
      <c r="DU46" s="40">
        <f t="shared" si="98"/>
        <v>37.333549719834906</v>
      </c>
      <c r="DV46" s="40">
        <f t="shared" si="99"/>
        <v>600.80936283800827</v>
      </c>
      <c r="DW46" s="40">
        <f t="shared" si="100"/>
        <v>53.091456475184899</v>
      </c>
    </row>
    <row r="47" spans="1:127" x14ac:dyDescent="0.15">
      <c r="A47" s="48"/>
      <c r="C47" s="40">
        <f>23.45*SIN(RADIANS(360/365*(C45-81)))</f>
        <v>-21.269473910221812</v>
      </c>
      <c r="D47" s="48">
        <v>7</v>
      </c>
      <c r="E47" s="40">
        <f t="shared" si="12"/>
        <v>-2.774911855577705</v>
      </c>
      <c r="F47" s="181">
        <f t="shared" si="13"/>
        <v>75</v>
      </c>
      <c r="G47" s="40">
        <f t="shared" si="19"/>
        <v>64.314684405419825</v>
      </c>
      <c r="H47" s="40">
        <f t="shared" si="20"/>
        <v>64.314684405419825</v>
      </c>
      <c r="I47" s="40">
        <f t="shared" si="21"/>
        <v>115.68531559458017</v>
      </c>
      <c r="J47" s="40">
        <f t="shared" si="22"/>
        <v>-244.31468440541983</v>
      </c>
      <c r="K47" s="40">
        <f t="shared" si="23"/>
        <v>20.655857704448856</v>
      </c>
      <c r="L47" s="40">
        <f t="shared" si="24"/>
        <v>0</v>
      </c>
      <c r="M47" s="41">
        <f>COS(RADIANS(E47))*COS(RADIANS(G47-Insolation!$L$6))*SIN(RADIANS(0))+(SIN(RADIANS(E47))*COS(RADIANS(0)))</f>
        <v>-4.8412417160707884E-2</v>
      </c>
      <c r="N47" s="41">
        <f>COS(RADIANS(E47))*COS(RADIANS(G47-Insolation!$L$6))*SIN(RADIANS(Insolation!$L$7))+SIN(RADIANS(E47))*COS(RADIANS(Insolation!$L$7))</f>
        <v>0.1463284755828741</v>
      </c>
      <c r="O47" s="40">
        <f t="shared" si="25"/>
        <v>0</v>
      </c>
      <c r="P47" s="40">
        <f t="shared" si="26"/>
        <v>0</v>
      </c>
      <c r="Q47" s="40">
        <f t="shared" si="27"/>
        <v>0</v>
      </c>
      <c r="R47" s="40">
        <f>$C$55*L47*((1+COS(RADIANS(Insolation!$L$7)))/2)</f>
        <v>0</v>
      </c>
      <c r="S47" s="40">
        <f t="shared" si="28"/>
        <v>0</v>
      </c>
      <c r="T47" s="40">
        <f t="shared" si="29"/>
        <v>0</v>
      </c>
      <c r="U47" s="40">
        <f t="shared" si="30"/>
        <v>0</v>
      </c>
      <c r="V47" s="40">
        <f t="shared" si="31"/>
        <v>0</v>
      </c>
      <c r="X47" s="40">
        <f>23.45*SIN(RADIANS(360/365*(X45-81)))</f>
        <v>-13.289156185026709</v>
      </c>
      <c r="Y47" s="48">
        <v>7</v>
      </c>
      <c r="Z47" s="40">
        <f t="shared" si="32"/>
        <v>2.5908269210121886</v>
      </c>
      <c r="AA47" s="181">
        <f t="shared" si="14"/>
        <v>75</v>
      </c>
      <c r="AB47" s="40">
        <f t="shared" si="33"/>
        <v>70.223993878543681</v>
      </c>
      <c r="AC47" s="40">
        <f t="shared" si="34"/>
        <v>70.223993878543681</v>
      </c>
      <c r="AD47" s="40">
        <f t="shared" si="35"/>
        <v>109.77600612145632</v>
      </c>
      <c r="AE47" s="40">
        <f t="shared" si="36"/>
        <v>-250.22399387854369</v>
      </c>
      <c r="AF47" s="40">
        <f t="shared" si="37"/>
        <v>22.122400088180004</v>
      </c>
      <c r="AG47" s="40">
        <f t="shared" si="38"/>
        <v>48.072769720681862</v>
      </c>
      <c r="AH47" s="41">
        <f>COS(RADIANS(Z47))*COS(RADIANS(AB47-Insolation!$L$6))*SIN(RADIANS(0))+(SIN(RADIANS(Z47))*COS(RADIANS(0)))</f>
        <v>4.5203051929898867E-2</v>
      </c>
      <c r="AI47" s="41">
        <f>COS(RADIANS(Z47))*COS(RADIANS(AB47-Insolation!$L$6))*SIN(RADIANS(Insolation!$L$7))+SIN(RADIANS(Z47))*COS(RADIANS(Insolation!$L$7))</f>
        <v>0.16774915192493706</v>
      </c>
      <c r="AJ47" s="40">
        <f t="shared" si="39"/>
        <v>2.1730359060980522</v>
      </c>
      <c r="AK47" s="40">
        <f t="shared" si="40"/>
        <v>3.0259672412673271</v>
      </c>
      <c r="AL47" s="40">
        <f t="shared" si="41"/>
        <v>8.0641663513271755</v>
      </c>
      <c r="AM47" s="40">
        <f>$X$55*AG47*((1+COS(RADIANS(Insolation!$L$7)))/2)</f>
        <v>2.7612983118893739</v>
      </c>
      <c r="AN47" s="40">
        <f t="shared" si="42"/>
        <v>46.785496063766786</v>
      </c>
      <c r="AO47" s="40">
        <f t="shared" si="43"/>
        <v>1.9269710515915024</v>
      </c>
      <c r="AP47" s="40">
        <f t="shared" si="44"/>
        <v>48.072769720681862</v>
      </c>
      <c r="AQ47" s="40">
        <f t="shared" si="45"/>
        <v>1.5813750978062535</v>
      </c>
      <c r="AS47" s="40">
        <f>23.45*SIN(RADIANS(360/365*(AS45-81)))</f>
        <v>-2.8188786528898206</v>
      </c>
      <c r="AT47" s="48">
        <v>7</v>
      </c>
      <c r="AU47" s="40">
        <f t="shared" si="46"/>
        <v>9.5794688837511668</v>
      </c>
      <c r="AV47" s="181">
        <f t="shared" si="15"/>
        <v>75</v>
      </c>
      <c r="AW47" s="40">
        <f t="shared" si="47"/>
        <v>78.069787592422273</v>
      </c>
      <c r="AX47" s="40">
        <f t="shared" si="48"/>
        <v>78.069787592422273</v>
      </c>
      <c r="AY47" s="40">
        <f t="shared" si="49"/>
        <v>101.93021240757773</v>
      </c>
      <c r="AZ47" s="40">
        <f t="shared" si="50"/>
        <v>-258.06978759242224</v>
      </c>
      <c r="BA47" s="40">
        <f t="shared" si="51"/>
        <v>6.0090585876575604</v>
      </c>
      <c r="BB47" s="40">
        <f t="shared" si="52"/>
        <v>455.62084360850491</v>
      </c>
      <c r="BC47" s="41">
        <f>COS(RADIANS(AU47))*COS(RADIANS(AW47-Insolation!$L$6))*SIN(RADIANS(0))+(SIN(RADIANS(AU47))*COS(RADIANS(0)))</f>
        <v>0.16641541855723826</v>
      </c>
      <c r="BD47" s="41">
        <f>COS(RADIANS(AU47))*COS(RADIANS(AW47-Insolation!$L$6))*SIN(RADIANS(Insolation!$L$7))+SIN(RADIANS(AU47))*COS(RADIANS(Insolation!$L$7))</f>
        <v>0.19086821333730919</v>
      </c>
      <c r="BE47" s="40">
        <f t="shared" si="53"/>
        <v>75.822333392511339</v>
      </c>
      <c r="BF47" s="40">
        <f t="shared" si="54"/>
        <v>35.39671691996805</v>
      </c>
      <c r="BG47" s="40">
        <f t="shared" si="55"/>
        <v>86.963536378792895</v>
      </c>
      <c r="BH47" s="40">
        <f>$AS$55*BB47*((1+COS(RADIANS(Insolation!$L$7)))/2)</f>
        <v>32.30071143684895</v>
      </c>
      <c r="BI47" s="40">
        <f t="shared" si="56"/>
        <v>455.06953664022143</v>
      </c>
      <c r="BJ47" s="40">
        <f t="shared" si="57"/>
        <v>21.498322722908174</v>
      </c>
      <c r="BK47" s="40">
        <f t="shared" si="58"/>
        <v>455.62084360850491</v>
      </c>
      <c r="BL47" s="40">
        <f t="shared" si="59"/>
        <v>20.643638190878303</v>
      </c>
      <c r="BN47" s="40">
        <f>23.45*SIN(RADIANS(360/365*(BN45-81)))</f>
        <v>9.4148933468800671</v>
      </c>
      <c r="BO47" s="48">
        <v>7</v>
      </c>
      <c r="BP47" s="40">
        <f t="shared" si="60"/>
        <v>17.502349879057398</v>
      </c>
      <c r="BQ47" s="181">
        <f t="shared" si="16"/>
        <v>75</v>
      </c>
      <c r="BR47" s="40">
        <f t="shared" si="61"/>
        <v>87.667567461463634</v>
      </c>
      <c r="BS47" s="40">
        <f t="shared" si="62"/>
        <v>87.667567461463634</v>
      </c>
      <c r="BT47" s="40">
        <f t="shared" si="63"/>
        <v>92.332432538536366</v>
      </c>
      <c r="BU47" s="40">
        <f t="shared" si="64"/>
        <v>-267.66756746146365</v>
      </c>
      <c r="BV47" s="40">
        <f t="shared" si="65"/>
        <v>3.3250770101140104</v>
      </c>
      <c r="BW47" s="40">
        <f t="shared" si="66"/>
        <v>635.0514944124468</v>
      </c>
      <c r="BX47" s="41">
        <f>COS(RADIANS(BP47))*COS(RADIANS(BR47-Insolation!$L$6))*SIN(RADIANS(0))+(SIN(RADIANS(BP47))*COS(RADIANS(0)))</f>
        <v>0.30074491416537508</v>
      </c>
      <c r="BY47" s="41">
        <f>COS(RADIANS(BP47))*COS(RADIANS(BR47-Insolation!$L$6))*SIN(RADIANS(Insolation!$L$7))+SIN(RADIANS(BP47))*COS(RADIANS(Insolation!$L$7))</f>
        <v>0.20978598441026405</v>
      </c>
      <c r="BZ47" s="40">
        <f t="shared" si="67"/>
        <v>190.98850717766447</v>
      </c>
      <c r="CA47" s="40">
        <f t="shared" si="68"/>
        <v>62.513574925385669</v>
      </c>
      <c r="CB47" s="40">
        <f t="shared" si="69"/>
        <v>133.22490290652445</v>
      </c>
      <c r="CC47" s="40">
        <f>$BN$55*BW47*((1+COS(RADIANS(Insolation!$L$7)))/2)</f>
        <v>57.045769219676579</v>
      </c>
      <c r="CD47" s="40">
        <f>BW47*COS(RADIANS($BN$47))</f>
        <v>626.4971435419759</v>
      </c>
      <c r="CE47" s="40">
        <f t="shared" si="71"/>
        <v>35.654132597733437</v>
      </c>
      <c r="CF47" s="40">
        <f t="shared" si="72"/>
        <v>635.0514944124468</v>
      </c>
      <c r="CG47" s="40">
        <f t="shared" si="73"/>
        <v>40.657107325245761</v>
      </c>
      <c r="CI47" s="40">
        <f>23.45*SIN(RADIANS(360/365*(CI45-81)))</f>
        <v>18.791917517696163</v>
      </c>
      <c r="CJ47" s="48">
        <v>7</v>
      </c>
      <c r="CK47" s="40">
        <f t="shared" si="74"/>
        <v>23.251054951474455</v>
      </c>
      <c r="CL47" s="181">
        <f t="shared" si="17"/>
        <v>75</v>
      </c>
      <c r="CM47" s="40">
        <f t="shared" si="75"/>
        <v>95.575716109833607</v>
      </c>
      <c r="CN47" s="40">
        <f t="shared" si="76"/>
        <v>84.424283890166393</v>
      </c>
      <c r="CO47" s="40">
        <f t="shared" si="77"/>
        <v>95.575716109833607</v>
      </c>
      <c r="CP47" s="40">
        <f t="shared" si="78"/>
        <v>-264.42428389016641</v>
      </c>
      <c r="CQ47" s="40">
        <f t="shared" si="79"/>
        <v>2.5331797566095866</v>
      </c>
      <c r="CR47" s="40">
        <f t="shared" si="80"/>
        <v>679.25940703658671</v>
      </c>
      <c r="CS47" s="41">
        <f>COS(RADIANS(CK47))*COS(RADIANS(CM47-Insolation!$L$6))*SIN(RADIANS(0))+(SIN(RADIANS(CK47))*COS(RADIANS(0)))</f>
        <v>0.39476077344720384</v>
      </c>
      <c r="CT47" s="41">
        <f>COS(RADIANS(CK47))*COS(RADIANS(CM47-Insolation!$L$6))*SIN(RADIANS(Insolation!$L$7))+SIN(RADIANS(CK47))*COS(RADIANS(Insolation!$L$7))</f>
        <v>0.21786555592219209</v>
      </c>
      <c r="CU47" s="40">
        <f t="shared" si="81"/>
        <v>268.14496889305201</v>
      </c>
      <c r="CV47" s="40">
        <f t="shared" si="82"/>
        <v>79.927143626271615</v>
      </c>
      <c r="CW47" s="40">
        <f t="shared" si="83"/>
        <v>147.98722832940453</v>
      </c>
      <c r="CX47" s="40">
        <f>$CI$55*CR47*((1+COS(RADIANS(Insolation!$L$7)))/2)</f>
        <v>72.936244569828602</v>
      </c>
      <c r="CY47" s="40">
        <f t="shared" si="84"/>
        <v>643.05128831425532</v>
      </c>
      <c r="CZ47" s="40">
        <f t="shared" si="101"/>
        <v>43.07066311240235</v>
      </c>
      <c r="DA47" s="40">
        <f t="shared" si="85"/>
        <v>679.25940703658671</v>
      </c>
      <c r="DB47" s="40">
        <f t="shared" si="86"/>
        <v>55.739622331802174</v>
      </c>
      <c r="DD47" s="40">
        <f>23.45*SIN(RADIANS(360/365*(DD45-81)))</f>
        <v>23.31440991666317</v>
      </c>
      <c r="DE47" s="48">
        <v>7</v>
      </c>
      <c r="DF47" s="40">
        <f t="shared" si="87"/>
        <v>25.879378463252294</v>
      </c>
      <c r="DG47" s="181">
        <f t="shared" si="18"/>
        <v>75</v>
      </c>
      <c r="DH47" s="40">
        <f t="shared" si="88"/>
        <v>99.623035204308067</v>
      </c>
      <c r="DI47" s="40">
        <f t="shared" si="89"/>
        <v>80.376964795691933</v>
      </c>
      <c r="DJ47" s="40">
        <f t="shared" si="90"/>
        <v>99.623035204308067</v>
      </c>
      <c r="DK47" s="40">
        <f t="shared" si="91"/>
        <v>-260.37696479569195</v>
      </c>
      <c r="DL47" s="40">
        <f t="shared" si="92"/>
        <v>2.2910662326510507</v>
      </c>
      <c r="DM47" s="40">
        <f t="shared" si="93"/>
        <v>679.36286518826023</v>
      </c>
      <c r="DN47" s="41">
        <f>COS(RADIANS(DF47))*COS(RADIANS(DH47-Insolation!$L$6))*SIN(RADIANS(0))+(SIN(RADIANS(DF47))*COS(RADIANS(0)))</f>
        <v>0.43647799690316008</v>
      </c>
      <c r="DO47" s="41">
        <f>COS(RADIANS(DF47))*COS(RADIANS(DH47-Insolation!$L$6))*SIN(RADIANS(Insolation!$L$7))+SIN(RADIANS(DF47))*COS(RADIANS(Insolation!$L$7))</f>
        <v>0.21968845964554426</v>
      </c>
      <c r="DP47" s="40">
        <f t="shared" si="94"/>
        <v>296.5269425677634</v>
      </c>
      <c r="DQ47" s="40">
        <f t="shared" si="95"/>
        <v>89.18713229812181</v>
      </c>
      <c r="DR47" s="40">
        <f t="shared" si="96"/>
        <v>149.24818139359243</v>
      </c>
      <c r="DS47" s="40">
        <f>$DD$55*DM47*((1+COS(RADIANS(Insolation!$L$7)))/2)</f>
        <v>81.386300055883922</v>
      </c>
      <c r="DT47" s="40">
        <f t="shared" si="97"/>
        <v>623.89076247654407</v>
      </c>
      <c r="DU47" s="40">
        <f t="shared" si="98"/>
        <v>46.58922611232952</v>
      </c>
      <c r="DV47" s="40">
        <f t="shared" si="99"/>
        <v>679.36286518826023</v>
      </c>
      <c r="DW47" s="40">
        <f t="shared" si="100"/>
        <v>64.057676576571566</v>
      </c>
    </row>
    <row r="48" spans="1:127" x14ac:dyDescent="0.15">
      <c r="A48" s="48"/>
      <c r="C48" s="208" t="s">
        <v>180</v>
      </c>
      <c r="D48" s="48">
        <v>7.5</v>
      </c>
      <c r="E48" s="40">
        <f t="shared" si="12"/>
        <v>2.2930184163709284</v>
      </c>
      <c r="F48" s="181">
        <f t="shared" si="13"/>
        <v>67.5</v>
      </c>
      <c r="G48" s="40">
        <f t="shared" si="19"/>
        <v>59.501118540783601</v>
      </c>
      <c r="H48" s="40">
        <f t="shared" si="20"/>
        <v>59.501118540783601</v>
      </c>
      <c r="I48" s="40">
        <f t="shared" si="21"/>
        <v>120.49888145921639</v>
      </c>
      <c r="J48" s="40">
        <f t="shared" si="22"/>
        <v>-239.50111854078361</v>
      </c>
      <c r="K48" s="40">
        <f t="shared" si="23"/>
        <v>24.993727338085812</v>
      </c>
      <c r="L48" s="40">
        <f t="shared" si="24"/>
        <v>38.013654531723262</v>
      </c>
      <c r="M48" s="41">
        <f>COS(RADIANS(E48))*COS(RADIANS(G48-Insolation!$L$6))*SIN(RADIANS(0))+(SIN(RADIANS(E48))*COS(RADIANS(0)))</f>
        <v>4.0010038777857082E-2</v>
      </c>
      <c r="N48" s="41">
        <f>COS(RADIANS(E48))*COS(RADIANS(G48-Insolation!$L$6))*SIN(RADIANS(Insolation!$L$7))+SIN(RADIANS(E48))*COS(RADIANS(Insolation!$L$7))</f>
        <v>0.26341641982708719</v>
      </c>
      <c r="O48" s="40">
        <f t="shared" si="25"/>
        <v>1.5209277919023103</v>
      </c>
      <c r="P48" s="40">
        <f t="shared" si="26"/>
        <v>2.0995429388369224</v>
      </c>
      <c r="Q48" s="40">
        <f t="shared" si="27"/>
        <v>10.01342078129027</v>
      </c>
      <c r="R48" s="40">
        <f>$C$55*L48*((1+COS(RADIANS(Insolation!$L$7)))/2)</f>
        <v>1.9159045391124496</v>
      </c>
      <c r="S48" s="40">
        <f t="shared" si="28"/>
        <v>35.424340335612612</v>
      </c>
      <c r="T48" s="40">
        <f t="shared" si="29"/>
        <v>1.4694166339235208</v>
      </c>
      <c r="U48" s="40">
        <f t="shared" si="30"/>
        <v>38.013654531723262</v>
      </c>
      <c r="V48" s="40">
        <f t="shared" si="31"/>
        <v>1.0917728666177817</v>
      </c>
      <c r="X48" s="208" t="s">
        <v>180</v>
      </c>
      <c r="Y48" s="48">
        <v>7.5</v>
      </c>
      <c r="Z48" s="40">
        <f t="shared" si="32"/>
        <v>7.9059766572064571</v>
      </c>
      <c r="AA48" s="181">
        <f t="shared" si="14"/>
        <v>67.5</v>
      </c>
      <c r="AB48" s="40">
        <f t="shared" si="33"/>
        <v>65.198770971766109</v>
      </c>
      <c r="AC48" s="40">
        <f t="shared" si="34"/>
        <v>65.198770971766109</v>
      </c>
      <c r="AD48" s="40">
        <f t="shared" si="35"/>
        <v>114.80122902823389</v>
      </c>
      <c r="AE48" s="40">
        <f t="shared" si="36"/>
        <v>-245.19877097176612</v>
      </c>
      <c r="AF48" s="40">
        <f t="shared" si="37"/>
        <v>7.2701963108891059</v>
      </c>
      <c r="AG48" s="40">
        <f t="shared" si="38"/>
        <v>420.0736779803417</v>
      </c>
      <c r="AH48" s="41">
        <f>COS(RADIANS(Z48))*COS(RADIANS(AB48-Insolation!$L$6))*SIN(RADIANS(0))+(SIN(RADIANS(Z48))*COS(RADIANS(0)))</f>
        <v>0.13754786765554414</v>
      </c>
      <c r="AI48" s="41">
        <f>COS(RADIANS(Z48))*COS(RADIANS(AB48-Insolation!$L$6))*SIN(RADIANS(Insolation!$L$7))+SIN(RADIANS(Z48))*COS(RADIANS(Insolation!$L$7))</f>
        <v>0.29003103745002218</v>
      </c>
      <c r="AJ48" s="40">
        <f t="shared" si="39"/>
        <v>57.780238664417702</v>
      </c>
      <c r="AK48" s="40">
        <f t="shared" si="40"/>
        <v>26.441771420137854</v>
      </c>
      <c r="AL48" s="40">
        <f t="shared" si="41"/>
        <v>121.83440463008505</v>
      </c>
      <c r="AM48" s="40">
        <f>$X$55*AG48*((1+COS(RADIANS(Insolation!$L$7)))/2)</f>
        <v>24.129018249124201</v>
      </c>
      <c r="AN48" s="40">
        <f t="shared" si="42"/>
        <v>408.82511080251004</v>
      </c>
      <c r="AO48" s="40">
        <f t="shared" si="43"/>
        <v>18.000835723226462</v>
      </c>
      <c r="AP48" s="40">
        <f t="shared" si="44"/>
        <v>420.0736779803417</v>
      </c>
      <c r="AQ48" s="40">
        <f t="shared" si="45"/>
        <v>15.03939034800656</v>
      </c>
      <c r="AS48" s="208" t="s">
        <v>180</v>
      </c>
      <c r="AT48" s="48">
        <v>7.5</v>
      </c>
      <c r="AU48" s="40">
        <f t="shared" si="46"/>
        <v>15.140460553266353</v>
      </c>
      <c r="AV48" s="181">
        <f t="shared" si="15"/>
        <v>67.5</v>
      </c>
      <c r="AW48" s="40">
        <f t="shared" si="47"/>
        <v>72.929433767365254</v>
      </c>
      <c r="AX48" s="40">
        <f t="shared" si="48"/>
        <v>72.929433767365254</v>
      </c>
      <c r="AY48" s="40">
        <f t="shared" si="49"/>
        <v>107.07056623263475</v>
      </c>
      <c r="AZ48" s="40">
        <f t="shared" si="50"/>
        <v>-252.92943376736525</v>
      </c>
      <c r="BA48" s="40">
        <f t="shared" si="51"/>
        <v>3.82868574258586</v>
      </c>
      <c r="BB48" s="40">
        <f t="shared" si="52"/>
        <v>644.20656650634089</v>
      </c>
      <c r="BC48" s="41">
        <f>COS(RADIANS(AU48))*COS(RADIANS(AW48-Insolation!$L$6))*SIN(RADIANS(0))+(SIN(RADIANS(AU48))*COS(RADIANS(0)))</f>
        <v>0.2611862313161824</v>
      </c>
      <c r="BD48" s="41">
        <f>COS(RADIANS(AU48))*COS(RADIANS(AW48-Insolation!$L$6))*SIN(RADIANS(Insolation!$L$7))+SIN(RADIANS(AU48))*COS(RADIANS(Insolation!$L$7))</f>
        <v>0.31636257472450896</v>
      </c>
      <c r="BE48" s="40">
        <f t="shared" si="53"/>
        <v>168.2578852949288</v>
      </c>
      <c r="BF48" s="40">
        <f t="shared" si="54"/>
        <v>50.047748676315969</v>
      </c>
      <c r="BG48" s="40">
        <f t="shared" si="55"/>
        <v>203.80284803438161</v>
      </c>
      <c r="BH48" s="40">
        <f>$AS$55*BB48*((1+COS(RADIANS(Insolation!$L$7)))/2)</f>
        <v>45.670277605482518</v>
      </c>
      <c r="BI48" s="40">
        <f t="shared" si="56"/>
        <v>643.42706843439998</v>
      </c>
      <c r="BJ48" s="40">
        <f t="shared" si="57"/>
        <v>32.739785432796182</v>
      </c>
      <c r="BK48" s="40">
        <f t="shared" si="58"/>
        <v>644.20656650634089</v>
      </c>
      <c r="BL48" s="40">
        <f t="shared" si="59"/>
        <v>31.559765769471202</v>
      </c>
      <c r="BN48" s="208" t="s">
        <v>180</v>
      </c>
      <c r="BO48" s="48">
        <v>7.5</v>
      </c>
      <c r="BP48" s="40">
        <f t="shared" si="60"/>
        <v>23.225590991925866</v>
      </c>
      <c r="BQ48" s="181">
        <f t="shared" si="16"/>
        <v>67.5</v>
      </c>
      <c r="BR48" s="40">
        <f t="shared" si="61"/>
        <v>82.662781022953254</v>
      </c>
      <c r="BS48" s="40">
        <f t="shared" si="62"/>
        <v>82.662781022953254</v>
      </c>
      <c r="BT48" s="40">
        <f t="shared" si="63"/>
        <v>97.337218977046746</v>
      </c>
      <c r="BU48" s="40">
        <f t="shared" si="64"/>
        <v>-262.66278102295325</v>
      </c>
      <c r="BV48" s="40">
        <f t="shared" si="65"/>
        <v>2.5358030065341617</v>
      </c>
      <c r="BW48" s="40">
        <f t="shared" si="66"/>
        <v>730.27013097192207</v>
      </c>
      <c r="BX48" s="41">
        <f>COS(RADIANS(BP48))*COS(RADIANS(BR48-Insolation!$L$6))*SIN(RADIANS(0))+(SIN(RADIANS(BP48))*COS(RADIANS(0)))</f>
        <v>0.39435239938719124</v>
      </c>
      <c r="BY48" s="41">
        <f>COS(RADIANS(BP48))*COS(RADIANS(BR48-Insolation!$L$6))*SIN(RADIANS(Insolation!$L$7))+SIN(RADIANS(BP48))*COS(RADIANS(Insolation!$L$7))</f>
        <v>0.33373988157534668</v>
      </c>
      <c r="BZ48" s="40">
        <f t="shared" si="67"/>
        <v>287.98377834957586</v>
      </c>
      <c r="CA48" s="40">
        <f t="shared" si="68"/>
        <v>71.886763435651403</v>
      </c>
      <c r="CB48" s="40">
        <f t="shared" si="69"/>
        <v>243.72026702858219</v>
      </c>
      <c r="CC48" s="40">
        <f>$BN$55*BW48*((1+COS(RADIANS(Insolation!$L$7)))/2)</f>
        <v>65.599123419102</v>
      </c>
      <c r="CD48" s="40">
        <f t="shared" si="70"/>
        <v>720.43315399364053</v>
      </c>
      <c r="CE48" s="40">
        <f t="shared" si="71"/>
        <v>44.523597927414123</v>
      </c>
      <c r="CF48" s="40">
        <f t="shared" si="72"/>
        <v>730.27013097192207</v>
      </c>
      <c r="CG48" s="40">
        <f t="shared" si="73"/>
        <v>50.117740540339973</v>
      </c>
      <c r="CI48" s="208" t="s">
        <v>180</v>
      </c>
      <c r="CJ48" s="48">
        <v>7.5</v>
      </c>
      <c r="CK48" s="40">
        <f t="shared" si="74"/>
        <v>28.98551513312113</v>
      </c>
      <c r="CL48" s="181">
        <f t="shared" si="17"/>
        <v>67.5</v>
      </c>
      <c r="CM48" s="40">
        <f t="shared" si="75"/>
        <v>90.910204853565631</v>
      </c>
      <c r="CN48" s="40">
        <f t="shared" si="76"/>
        <v>89.089795146434369</v>
      </c>
      <c r="CO48" s="40">
        <f t="shared" si="77"/>
        <v>90.910204853565631</v>
      </c>
      <c r="CP48" s="40">
        <f t="shared" si="78"/>
        <v>-269.08979514643437</v>
      </c>
      <c r="CQ48" s="40">
        <f t="shared" si="79"/>
        <v>2.0636065728151887</v>
      </c>
      <c r="CR48" s="40">
        <f t="shared" si="80"/>
        <v>743.98629169456979</v>
      </c>
      <c r="CS48" s="41">
        <f>COS(RADIANS(CK48))*COS(RADIANS(CM48-Insolation!$L$6))*SIN(RADIANS(0))+(SIN(RADIANS(CK48))*COS(RADIANS(0)))</f>
        <v>0.48458849335597531</v>
      </c>
      <c r="CT48" s="41">
        <f>COS(RADIANS(CK48))*COS(RADIANS(CM48-Insolation!$L$6))*SIN(RADIANS(Insolation!$L$7))+SIN(RADIANS(CK48))*COS(RADIANS(Insolation!$L$7))</f>
        <v>0.336814333680308</v>
      </c>
      <c r="CU48" s="40">
        <f t="shared" si="81"/>
        <v>360.52719616977072</v>
      </c>
      <c r="CV48" s="40">
        <f t="shared" si="82"/>
        <v>87.543431237377263</v>
      </c>
      <c r="CW48" s="40">
        <f t="shared" si="83"/>
        <v>250.58524710438979</v>
      </c>
      <c r="CX48" s="40">
        <f>$CI$55*CR48*((1+COS(RADIANS(Insolation!$L$7)))/2)</f>
        <v>79.886366777563381</v>
      </c>
      <c r="CY48" s="40">
        <f t="shared" si="84"/>
        <v>704.32788770574859</v>
      </c>
      <c r="CZ48" s="40">
        <f t="shared" si="101"/>
        <v>51.518204596655842</v>
      </c>
      <c r="DA48" s="40">
        <f t="shared" si="85"/>
        <v>743.98629169456979</v>
      </c>
      <c r="DB48" s="40">
        <f t="shared" si="86"/>
        <v>64.982985341955171</v>
      </c>
      <c r="DD48" s="208" t="s">
        <v>180</v>
      </c>
      <c r="DE48" s="48">
        <v>7.5</v>
      </c>
      <c r="DF48" s="40">
        <f t="shared" si="87"/>
        <v>31.57511394234367</v>
      </c>
      <c r="DG48" s="181">
        <f t="shared" si="18"/>
        <v>67.5</v>
      </c>
      <c r="DH48" s="40">
        <f t="shared" si="88"/>
        <v>95.204642815860794</v>
      </c>
      <c r="DI48" s="40">
        <f t="shared" si="89"/>
        <v>84.795357184139206</v>
      </c>
      <c r="DJ48" s="40">
        <f t="shared" si="90"/>
        <v>95.204642815860794</v>
      </c>
      <c r="DK48" s="40">
        <f t="shared" si="91"/>
        <v>-264.79535718413922</v>
      </c>
      <c r="DL48" s="40">
        <f t="shared" si="92"/>
        <v>1.9097968043865166</v>
      </c>
      <c r="DM48" s="40">
        <f t="shared" si="93"/>
        <v>734.8011062340272</v>
      </c>
      <c r="DN48" s="41">
        <f>COS(RADIANS(DF48))*COS(RADIANS(DH48-Insolation!$L$6))*SIN(RADIANS(0))+(SIN(RADIANS(DF48))*COS(RADIANS(0)))</f>
        <v>0.52361591437536714</v>
      </c>
      <c r="DO48" s="41">
        <f>COS(RADIANS(DF48))*COS(RADIANS(DH48-Insolation!$L$6))*SIN(RADIANS(Insolation!$L$7))+SIN(RADIANS(DF48))*COS(RADIANS(Insolation!$L$7))</f>
        <v>0.33507543362454556</v>
      </c>
      <c r="DP48" s="40">
        <f t="shared" si="94"/>
        <v>384.75355312476142</v>
      </c>
      <c r="DQ48" s="40">
        <f t="shared" si="95"/>
        <v>96.465095212909375</v>
      </c>
      <c r="DR48" s="40">
        <f t="shared" si="96"/>
        <v>246.21379929916245</v>
      </c>
      <c r="DS48" s="40">
        <f>$DD$55*DM48*((1+COS(RADIANS(Insolation!$L$7)))/2)</f>
        <v>88.027689439259916</v>
      </c>
      <c r="DT48" s="40">
        <f t="shared" si="97"/>
        <v>674.80229775278758</v>
      </c>
      <c r="DU48" s="40">
        <f t="shared" si="98"/>
        <v>55.162479785655741</v>
      </c>
      <c r="DV48" s="40">
        <f t="shared" si="99"/>
        <v>734.8011062340272</v>
      </c>
      <c r="DW48" s="40">
        <f t="shared" si="100"/>
        <v>73.487877124061882</v>
      </c>
    </row>
    <row r="49" spans="1:127" x14ac:dyDescent="0.15">
      <c r="A49" s="48"/>
      <c r="C49" s="41">
        <f>1370*(1+0.034*COS(RADIANS(360*C45)/365))</f>
        <v>1415.0357711577337</v>
      </c>
      <c r="D49" s="48">
        <v>8</v>
      </c>
      <c r="E49" s="40">
        <f t="shared" si="12"/>
        <v>7.1090510901088475</v>
      </c>
      <c r="F49" s="181">
        <f t="shared" si="13"/>
        <v>60</v>
      </c>
      <c r="G49" s="40">
        <f t="shared" si="19"/>
        <v>54.418432704432782</v>
      </c>
      <c r="H49" s="40">
        <f t="shared" si="20"/>
        <v>54.418432704432782</v>
      </c>
      <c r="I49" s="40">
        <f t="shared" si="21"/>
        <v>125.58156729556723</v>
      </c>
      <c r="J49" s="40">
        <f t="shared" si="22"/>
        <v>-234.41843270443277</v>
      </c>
      <c r="K49" s="40">
        <f t="shared" si="23"/>
        <v>8.080270363334904</v>
      </c>
      <c r="L49" s="40">
        <f t="shared" si="24"/>
        <v>400.34984440035339</v>
      </c>
      <c r="M49" s="41">
        <f>COS(RADIANS(E49))*COS(RADIANS(G49-Insolation!$L$6))*SIN(RADIANS(0))+(SIN(RADIANS(E49))*COS(RADIANS(0)))</f>
        <v>0.12375823518698181</v>
      </c>
      <c r="N49" s="41">
        <f>COS(RADIANS(E49))*COS(RADIANS(G49-Insolation!$L$6))*SIN(RADIANS(Insolation!$L$7))+SIN(RADIANS(E49))*COS(RADIANS(Insolation!$L$7))</f>
        <v>0.37537523751710711</v>
      </c>
      <c r="O49" s="40">
        <f t="shared" si="25"/>
        <v>49.54659020037051</v>
      </c>
      <c r="P49" s="40">
        <f t="shared" si="26"/>
        <v>22.111835845032026</v>
      </c>
      <c r="Q49" s="40">
        <f t="shared" si="27"/>
        <v>150.28141793171952</v>
      </c>
      <c r="R49" s="40">
        <f>$C$55*L49*((1+COS(RADIANS(Insolation!$L$7)))/2)</f>
        <v>20.177804359207141</v>
      </c>
      <c r="S49" s="40">
        <f t="shared" si="28"/>
        <v>373.07986606529408</v>
      </c>
      <c r="T49" s="40">
        <f t="shared" si="29"/>
        <v>16.31073462792514</v>
      </c>
      <c r="U49" s="40">
        <f t="shared" si="30"/>
        <v>400.34984440035339</v>
      </c>
      <c r="V49" s="40">
        <f t="shared" si="31"/>
        <v>12.424178812978719</v>
      </c>
      <c r="X49" s="41">
        <f>1370*(1+0.034*COS(RADIANS(360*X45)/365))</f>
        <v>1402.7237297467996</v>
      </c>
      <c r="Y49" s="48">
        <v>8</v>
      </c>
      <c r="Z49" s="40">
        <f t="shared" si="32"/>
        <v>13.003529524495349</v>
      </c>
      <c r="AA49" s="181">
        <f t="shared" si="14"/>
        <v>60</v>
      </c>
      <c r="AB49" s="40">
        <f t="shared" si="33"/>
        <v>59.884720958437306</v>
      </c>
      <c r="AC49" s="40">
        <f t="shared" si="34"/>
        <v>59.884720958437306</v>
      </c>
      <c r="AD49" s="40">
        <f t="shared" si="35"/>
        <v>120.1152790415627</v>
      </c>
      <c r="AE49" s="40">
        <f t="shared" si="36"/>
        <v>-239.8847209584373</v>
      </c>
      <c r="AF49" s="40">
        <f t="shared" si="37"/>
        <v>4.4442256524555024</v>
      </c>
      <c r="AG49" s="40">
        <f t="shared" si="38"/>
        <v>634.5316780753808</v>
      </c>
      <c r="AH49" s="41">
        <f>COS(RADIANS(Z49))*COS(RADIANS(AB49-Insolation!$L$6))*SIN(RADIANS(0))+(SIN(RADIANS(Z49))*COS(RADIANS(0)))</f>
        <v>0.22501107688973551</v>
      </c>
      <c r="AI49" s="41">
        <f>COS(RADIANS(Z49))*COS(RADIANS(AB49-Insolation!$L$6))*SIN(RADIANS(Insolation!$L$7))+SIN(RADIANS(Z49))*COS(RADIANS(Insolation!$L$7))</f>
        <v>0.40695627186818106</v>
      </c>
      <c r="AJ49" s="40">
        <f t="shared" si="39"/>
        <v>142.7766562043924</v>
      </c>
      <c r="AK49" s="40">
        <f t="shared" si="40"/>
        <v>39.940949576209555</v>
      </c>
      <c r="AL49" s="40">
        <f t="shared" si="41"/>
        <v>258.22664609181783</v>
      </c>
      <c r="AM49" s="40">
        <f>$X$55*AG49*((1+COS(RADIANS(Insolation!$L$7)))/2)</f>
        <v>36.447478722160639</v>
      </c>
      <c r="AN49" s="40">
        <f t="shared" si="42"/>
        <v>617.5404392012631</v>
      </c>
      <c r="AO49" s="40">
        <f t="shared" si="43"/>
        <v>28.816531259300863</v>
      </c>
      <c r="AP49" s="40">
        <f t="shared" si="44"/>
        <v>634.5316780753808</v>
      </c>
      <c r="AQ49" s="40">
        <f t="shared" si="45"/>
        <v>24.464052826175546</v>
      </c>
      <c r="AS49" s="41">
        <f>1370*(1+0.034*COS(RADIANS(360*AS45)/365))</f>
        <v>1383.6293236338013</v>
      </c>
      <c r="AT49" s="48">
        <v>8</v>
      </c>
      <c r="AU49" s="40">
        <f t="shared" si="46"/>
        <v>20.545260583949243</v>
      </c>
      <c r="AV49" s="181">
        <f t="shared" si="15"/>
        <v>60</v>
      </c>
      <c r="AW49" s="40">
        <f t="shared" si="47"/>
        <v>67.477800643609996</v>
      </c>
      <c r="AX49" s="40">
        <f t="shared" si="48"/>
        <v>67.477800643609996</v>
      </c>
      <c r="AY49" s="40">
        <f t="shared" si="49"/>
        <v>112.52219935639</v>
      </c>
      <c r="AZ49" s="40">
        <f t="shared" si="50"/>
        <v>-247.47780064361001</v>
      </c>
      <c r="BA49" s="40">
        <f t="shared" si="51"/>
        <v>2.8494315418194107</v>
      </c>
      <c r="BB49" s="40">
        <f t="shared" si="52"/>
        <v>752.63226976936551</v>
      </c>
      <c r="BC49" s="41">
        <f>COS(RADIANS(AU49))*COS(RADIANS(AW49-Insolation!$L$6))*SIN(RADIANS(0))+(SIN(RADIANS(AU49))*COS(RADIANS(0)))</f>
        <v>0.35094719256230417</v>
      </c>
      <c r="BD49" s="41">
        <f>COS(RADIANS(AU49))*COS(RADIANS(AW49-Insolation!$L$6))*SIN(RADIANS(Insolation!$L$7))+SIN(RADIANS(AU49))*COS(RADIANS(Insolation!$L$7))</f>
        <v>0.43635956005350318</v>
      </c>
      <c r="BE49" s="40">
        <f t="shared" si="53"/>
        <v>264.13418210735358</v>
      </c>
      <c r="BF49" s="40">
        <f t="shared" si="54"/>
        <v>58.471230567209197</v>
      </c>
      <c r="BG49" s="40">
        <f t="shared" si="55"/>
        <v>328.41828611862985</v>
      </c>
      <c r="BH49" s="40">
        <f>$AS$55*BB49*((1+COS(RADIANS(Insolation!$L$7)))/2)</f>
        <v>53.356992123850077</v>
      </c>
      <c r="BI49" s="40">
        <f t="shared" si="56"/>
        <v>751.7215752287193</v>
      </c>
      <c r="BJ49" s="40">
        <f t="shared" si="57"/>
        <v>40.82968266458613</v>
      </c>
      <c r="BK49" s="40">
        <f t="shared" si="58"/>
        <v>752.63226976936551</v>
      </c>
      <c r="BL49" s="40">
        <f t="shared" si="59"/>
        <v>39.495772390217226</v>
      </c>
      <c r="BN49" s="41">
        <f>1370*(1+0.034*COS(RADIANS(360*BN45)/365))</f>
        <v>1359.0773910738103</v>
      </c>
      <c r="BO49" s="48">
        <v>8</v>
      </c>
      <c r="BP49" s="40">
        <f t="shared" si="60"/>
        <v>28.882275202221184</v>
      </c>
      <c r="BQ49" s="181">
        <f t="shared" si="16"/>
        <v>60</v>
      </c>
      <c r="BR49" s="40">
        <f t="shared" si="61"/>
        <v>77.350119558334313</v>
      </c>
      <c r="BS49" s="40">
        <f t="shared" si="62"/>
        <v>77.350119558334313</v>
      </c>
      <c r="BT49" s="40">
        <f t="shared" si="63"/>
        <v>102.64988044166569</v>
      </c>
      <c r="BU49" s="40">
        <f t="shared" si="64"/>
        <v>-257.35011955833431</v>
      </c>
      <c r="BV49" s="40">
        <f t="shared" si="65"/>
        <v>2.0703439528479004</v>
      </c>
      <c r="BW49" s="40">
        <f t="shared" si="66"/>
        <v>792.98542488351313</v>
      </c>
      <c r="BX49" s="41">
        <f>COS(RADIANS(BP49))*COS(RADIANS(BR49-Insolation!$L$6))*SIN(RADIANS(0))+(SIN(RADIANS(BP49))*COS(RADIANS(0)))</f>
        <v>0.48301152985929285</v>
      </c>
      <c r="BY49" s="41">
        <f>COS(RADIANS(BP49))*COS(RADIANS(BR49-Insolation!$L$6))*SIN(RADIANS(Insolation!$L$7))+SIN(RADIANS(BP49))*COS(RADIANS(Insolation!$L$7))</f>
        <v>0.45226388389046096</v>
      </c>
      <c r="BZ49" s="40">
        <f t="shared" si="67"/>
        <v>383.02110322910704</v>
      </c>
      <c r="CA49" s="40">
        <f t="shared" si="68"/>
        <v>78.060368662007335</v>
      </c>
      <c r="CB49" s="40">
        <f t="shared" si="69"/>
        <v>358.63866812634501</v>
      </c>
      <c r="CC49" s="40">
        <f>$BN$55*BW49*((1+COS(RADIANS(Insolation!$L$7)))/2)</f>
        <v>71.232748746343944</v>
      </c>
      <c r="CD49" s="40">
        <f t="shared" si="70"/>
        <v>782.30365242992798</v>
      </c>
      <c r="CE49" s="40">
        <f t="shared" si="71"/>
        <v>52.037780303212536</v>
      </c>
      <c r="CF49" s="40">
        <f t="shared" si="72"/>
        <v>792.98542488351313</v>
      </c>
      <c r="CG49" s="40">
        <f t="shared" si="73"/>
        <v>57.882213375411943</v>
      </c>
      <c r="CI49" s="41">
        <f>1370*(1+0.034*COS(RADIANS(360*CI45)/365))</f>
        <v>1338.1430333407257</v>
      </c>
      <c r="CJ49" s="48">
        <v>8</v>
      </c>
      <c r="CK49" s="40">
        <f t="shared" si="74"/>
        <v>34.727054451288346</v>
      </c>
      <c r="CL49" s="181">
        <f t="shared" si="17"/>
        <v>60</v>
      </c>
      <c r="CM49" s="40">
        <f t="shared" si="75"/>
        <v>85.988597795461459</v>
      </c>
      <c r="CN49" s="40">
        <f t="shared" si="76"/>
        <v>85.988597795461459</v>
      </c>
      <c r="CO49" s="40">
        <f t="shared" si="77"/>
        <v>94.011402204538541</v>
      </c>
      <c r="CP49" s="40">
        <f t="shared" si="78"/>
        <v>-265.98859779546149</v>
      </c>
      <c r="CQ49" s="40">
        <f t="shared" si="79"/>
        <v>1.7554094378072458</v>
      </c>
      <c r="CR49" s="40">
        <f t="shared" si="80"/>
        <v>789.78587627483228</v>
      </c>
      <c r="CS49" s="41">
        <f>COS(RADIANS(CK49))*COS(RADIANS(CM49-Insolation!$L$6))*SIN(RADIANS(0))+(SIN(RADIANS(CK49))*COS(RADIANS(0)))</f>
        <v>0.56966766753239129</v>
      </c>
      <c r="CT49" s="41">
        <f>COS(RADIANS(CK49))*COS(RADIANS(CM49-Insolation!$L$6))*SIN(RADIANS(Insolation!$L$7))+SIN(RADIANS(CK49))*COS(RADIANS(Insolation!$L$7))</f>
        <v>0.45055246965522144</v>
      </c>
      <c r="CU49" s="40">
        <f t="shared" si="81"/>
        <v>449.91547798750946</v>
      </c>
      <c r="CV49" s="40">
        <f t="shared" si="82"/>
        <v>92.932579973263742</v>
      </c>
      <c r="CW49" s="40">
        <f t="shared" si="83"/>
        <v>355.83997705443886</v>
      </c>
      <c r="CX49" s="40">
        <f>$CI$55*CR49*((1+COS(RADIANS(Insolation!$L$7)))/2)</f>
        <v>84.804148802424834</v>
      </c>
      <c r="CY49" s="40">
        <f t="shared" si="84"/>
        <v>747.68611221247113</v>
      </c>
      <c r="CZ49" s="40">
        <f t="shared" si="101"/>
        <v>59.223561576592687</v>
      </c>
      <c r="DA49" s="40">
        <f t="shared" si="85"/>
        <v>789.78587627483228</v>
      </c>
      <c r="DB49" s="40">
        <f t="shared" si="86"/>
        <v>72.936633022200169</v>
      </c>
      <c r="DD49" s="41">
        <f>1370*(1+0.034*COS(RADIANS(360*DD45)/365))</f>
        <v>1325.286335315649</v>
      </c>
      <c r="DE49" s="48">
        <v>8</v>
      </c>
      <c r="DF49" s="40">
        <f t="shared" si="87"/>
        <v>37.311458708585981</v>
      </c>
      <c r="DG49" s="181">
        <f t="shared" si="18"/>
        <v>60</v>
      </c>
      <c r="DH49" s="40">
        <f t="shared" si="88"/>
        <v>90.578576153355598</v>
      </c>
      <c r="DI49" s="40">
        <f t="shared" si="89"/>
        <v>89.421423846644402</v>
      </c>
      <c r="DJ49" s="40">
        <f t="shared" si="90"/>
        <v>90.578576153355598</v>
      </c>
      <c r="DK49" s="40">
        <f t="shared" si="91"/>
        <v>-269.42142384664442</v>
      </c>
      <c r="DL49" s="40">
        <f t="shared" si="92"/>
        <v>1.6497635287653587</v>
      </c>
      <c r="DM49" s="40">
        <f t="shared" si="93"/>
        <v>775.1840855077603</v>
      </c>
      <c r="DN49" s="41">
        <f>COS(RADIANS(DF49))*COS(RADIANS(DH49-Insolation!$L$6))*SIN(RADIANS(0))+(SIN(RADIANS(DF49))*COS(RADIANS(0)))</f>
        <v>0.6061474766316205</v>
      </c>
      <c r="DO49" s="41">
        <f>COS(RADIANS(DF49))*COS(RADIANS(DH49-Insolation!$L$6))*SIN(RADIANS(Insolation!$L$7))+SIN(RADIANS(DF49))*COS(RADIANS(Insolation!$L$7))</f>
        <v>0.44540779334702341</v>
      </c>
      <c r="DP49" s="40">
        <f t="shared" si="94"/>
        <v>469.87587735551926</v>
      </c>
      <c r="DQ49" s="40">
        <f t="shared" si="95"/>
        <v>101.76659504404995</v>
      </c>
      <c r="DR49" s="40">
        <f t="shared" si="96"/>
        <v>345.2730329637418</v>
      </c>
      <c r="DS49" s="40">
        <f>$DD$55*DM49*((1+COS(RADIANS(Insolation!$L$7)))/2)</f>
        <v>92.865488849169992</v>
      </c>
      <c r="DT49" s="40">
        <f t="shared" si="97"/>
        <v>711.88788046738318</v>
      </c>
      <c r="DU49" s="40">
        <f t="shared" si="98"/>
        <v>63.190538236830683</v>
      </c>
      <c r="DV49" s="40">
        <f t="shared" si="99"/>
        <v>775.1840855077603</v>
      </c>
      <c r="DW49" s="40">
        <f t="shared" si="100"/>
        <v>81.726079917696396</v>
      </c>
    </row>
    <row r="50" spans="1:127" x14ac:dyDescent="0.15">
      <c r="A50" s="48"/>
      <c r="C50" s="208" t="s">
        <v>181</v>
      </c>
      <c r="D50" s="48">
        <v>8.5</v>
      </c>
      <c r="E50" s="40">
        <f t="shared" si="12"/>
        <v>11.618793378405703</v>
      </c>
      <c r="F50" s="181">
        <f t="shared" si="13"/>
        <v>52.5</v>
      </c>
      <c r="G50" s="40">
        <f t="shared" si="19"/>
        <v>49.006132280299049</v>
      </c>
      <c r="H50" s="40">
        <f t="shared" si="20"/>
        <v>49.006132280299049</v>
      </c>
      <c r="I50" s="40">
        <f t="shared" si="21"/>
        <v>130.99386771970094</v>
      </c>
      <c r="J50" s="40">
        <f t="shared" si="22"/>
        <v>-229.00613228029906</v>
      </c>
      <c r="K50" s="40">
        <f t="shared" si="23"/>
        <v>4.9652625957010716</v>
      </c>
      <c r="L50" s="40">
        <f t="shared" si="24"/>
        <v>617.67056552452891</v>
      </c>
      <c r="M50" s="41">
        <f>COS(RADIANS(E50))*COS(RADIANS(G50-Insolation!$L$6))*SIN(RADIANS(0))+(SIN(RADIANS(E50))*COS(RADIANS(0)))</f>
        <v>0.20139921720671949</v>
      </c>
      <c r="N50" s="41">
        <f>COS(RADIANS(E50))*COS(RADIANS(G50-Insolation!$L$6))*SIN(RADIANS(Insolation!$L$7))+SIN(RADIANS(E50))*COS(RADIANS(Insolation!$L$7))</f>
        <v>0.48028928224140915</v>
      </c>
      <c r="O50" s="40">
        <f t="shared" si="25"/>
        <v>124.39836838827186</v>
      </c>
      <c r="P50" s="40">
        <f t="shared" si="26"/>
        <v>34.114738252598222</v>
      </c>
      <c r="Q50" s="40">
        <f t="shared" si="27"/>
        <v>296.6605525774213</v>
      </c>
      <c r="R50" s="40">
        <f>$C$55*L50*((1+COS(RADIANS(Insolation!$L$7)))/2)</f>
        <v>31.130862179457807</v>
      </c>
      <c r="S50" s="40">
        <f t="shared" si="28"/>
        <v>575.59770556054764</v>
      </c>
      <c r="T50" s="40">
        <f t="shared" si="29"/>
        <v>26.319563305478489</v>
      </c>
      <c r="U50" s="40">
        <f t="shared" si="30"/>
        <v>617.67056552452891</v>
      </c>
      <c r="V50" s="40">
        <f t="shared" si="31"/>
        <v>20.492709915941816</v>
      </c>
      <c r="X50" s="208" t="s">
        <v>181</v>
      </c>
      <c r="Y50" s="48">
        <v>8.5</v>
      </c>
      <c r="Z50" s="40">
        <f t="shared" si="32"/>
        <v>17.824123662036801</v>
      </c>
      <c r="AA50" s="181">
        <f t="shared" si="14"/>
        <v>52.5</v>
      </c>
      <c r="AB50" s="40">
        <f t="shared" si="33"/>
        <v>54.19753036538733</v>
      </c>
      <c r="AC50" s="40">
        <f t="shared" si="34"/>
        <v>54.19753036538733</v>
      </c>
      <c r="AD50" s="40">
        <f t="shared" si="35"/>
        <v>125.80246963461266</v>
      </c>
      <c r="AE50" s="40">
        <f t="shared" si="36"/>
        <v>-234.19753036538734</v>
      </c>
      <c r="AF50" s="40">
        <f t="shared" si="37"/>
        <v>3.2669472247368212</v>
      </c>
      <c r="AG50" s="40">
        <f t="shared" si="38"/>
        <v>753.48851753276278</v>
      </c>
      <c r="AH50" s="41">
        <f>COS(RADIANS(Z50))*COS(RADIANS(AB50-Insolation!$L$6))*SIN(RADIANS(0))+(SIN(RADIANS(Z50))*COS(RADIANS(0)))</f>
        <v>0.30609615987309313</v>
      </c>
      <c r="AI50" s="41">
        <f>COS(RADIANS(Z50))*COS(RADIANS(AB50-Insolation!$L$6))*SIN(RADIANS(Insolation!$L$7))+SIN(RADIANS(Z50))*COS(RADIANS(Insolation!$L$7))</f>
        <v>0.51652423200071906</v>
      </c>
      <c r="AJ50" s="40">
        <f t="shared" si="39"/>
        <v>230.63994172524849</v>
      </c>
      <c r="AK50" s="40">
        <f t="shared" si="40"/>
        <v>47.428754032125326</v>
      </c>
      <c r="AL50" s="40">
        <f t="shared" si="41"/>
        <v>389.19507783997062</v>
      </c>
      <c r="AM50" s="40">
        <f>$X$55*AG50*((1+COS(RADIANS(Insolation!$L$7)))/2)</f>
        <v>43.280355668712929</v>
      </c>
      <c r="AN50" s="40">
        <f t="shared" si="42"/>
        <v>733.31189935487089</v>
      </c>
      <c r="AO50" s="40">
        <f t="shared" si="43"/>
        <v>35.968349217019075</v>
      </c>
      <c r="AP50" s="40">
        <f t="shared" si="44"/>
        <v>753.48851753276278</v>
      </c>
      <c r="AQ50" s="40">
        <f t="shared" si="45"/>
        <v>30.973256754462184</v>
      </c>
      <c r="AS50" s="208" t="s">
        <v>181</v>
      </c>
      <c r="AT50" s="48">
        <v>8.5</v>
      </c>
      <c r="AU50" s="40">
        <f t="shared" si="46"/>
        <v>25.732012344664366</v>
      </c>
      <c r="AV50" s="181">
        <f t="shared" si="15"/>
        <v>52.5</v>
      </c>
      <c r="AW50" s="40">
        <f t="shared" si="47"/>
        <v>61.596725839787958</v>
      </c>
      <c r="AX50" s="40">
        <f t="shared" si="48"/>
        <v>61.596725839787958</v>
      </c>
      <c r="AY50" s="40">
        <f t="shared" si="49"/>
        <v>118.40327416021205</v>
      </c>
      <c r="AZ50" s="40">
        <f t="shared" si="50"/>
        <v>-241.59672583978795</v>
      </c>
      <c r="BA50" s="40">
        <f t="shared" si="51"/>
        <v>2.303285233464579</v>
      </c>
      <c r="BB50" s="40">
        <f t="shared" si="52"/>
        <v>820.84447253136887</v>
      </c>
      <c r="BC50" s="41">
        <f>COS(RADIANS(AU50))*COS(RADIANS(AW50-Insolation!$L$6))*SIN(RADIANS(0))+(SIN(RADIANS(AU50))*COS(RADIANS(0)))</f>
        <v>0.43416246736224234</v>
      </c>
      <c r="BD50" s="41">
        <f>COS(RADIANS(AU50))*COS(RADIANS(AW50-Insolation!$L$6))*SIN(RADIANS(Insolation!$L$7))+SIN(RADIANS(AU50))*COS(RADIANS(Insolation!$L$7))</f>
        <v>0.54880598763586386</v>
      </c>
      <c r="BE50" s="40">
        <f t="shared" si="53"/>
        <v>356.37986151487746</v>
      </c>
      <c r="BF50" s="40">
        <f t="shared" si="54"/>
        <v>63.77056677081967</v>
      </c>
      <c r="BG50" s="40">
        <f t="shared" si="55"/>
        <v>450.48436144301763</v>
      </c>
      <c r="BH50" s="40">
        <f>$AS$55*BB50*((1+COS(RADIANS(Insolation!$L$7)))/2)</f>
        <v>58.192817149845816</v>
      </c>
      <c r="BI50" s="40">
        <f t="shared" si="56"/>
        <v>819.85124036490458</v>
      </c>
      <c r="BJ50" s="40">
        <f t="shared" si="57"/>
        <v>47.124508652437363</v>
      </c>
      <c r="BK50" s="40">
        <f t="shared" si="58"/>
        <v>820.84447253136887</v>
      </c>
      <c r="BL50" s="40">
        <f t="shared" si="59"/>
        <v>45.728676692563681</v>
      </c>
      <c r="BN50" s="208" t="s">
        <v>181</v>
      </c>
      <c r="BO50" s="48">
        <v>8.5</v>
      </c>
      <c r="BP50" s="40">
        <f t="shared" si="60"/>
        <v>34.416550538190549</v>
      </c>
      <c r="BQ50" s="181">
        <f t="shared" si="16"/>
        <v>52.5</v>
      </c>
      <c r="BR50" s="40">
        <f t="shared" si="61"/>
        <v>71.576051772911967</v>
      </c>
      <c r="BS50" s="40">
        <f t="shared" si="62"/>
        <v>71.576051772911967</v>
      </c>
      <c r="BT50" s="40">
        <f t="shared" si="63"/>
        <v>108.42394822708803</v>
      </c>
      <c r="BU50" s="40">
        <f t="shared" si="64"/>
        <v>-251.57605177291197</v>
      </c>
      <c r="BV50" s="40">
        <f t="shared" si="65"/>
        <v>1.7692685451009602</v>
      </c>
      <c r="BW50" s="40">
        <f t="shared" si="66"/>
        <v>836.39235632621126</v>
      </c>
      <c r="BX50" s="41">
        <f>COS(RADIANS(BP50))*COS(RADIANS(BR50-Insolation!$L$6))*SIN(RADIANS(0))+(SIN(RADIANS(BP50))*COS(RADIANS(0)))</f>
        <v>0.5652053232783476</v>
      </c>
      <c r="BY50" s="41">
        <f>COS(RADIANS(BP50))*COS(RADIANS(BR50-Insolation!$L$6))*SIN(RADIANS(Insolation!$L$7))+SIN(RADIANS(BP50))*COS(RADIANS(Insolation!$L$7))</f>
        <v>0.56333001281493267</v>
      </c>
      <c r="BZ50" s="40">
        <f t="shared" si="67"/>
        <v>472.73341214489511</v>
      </c>
      <c r="CA50" s="40">
        <f t="shared" si="68"/>
        <v>82.333285874074932</v>
      </c>
      <c r="CB50" s="40">
        <f t="shared" si="69"/>
        <v>471.16491680755632</v>
      </c>
      <c r="CC50" s="40">
        <f>$BN$55*BW50*((1+COS(RADIANS(Insolation!$L$7)))/2)</f>
        <v>75.131931435309127</v>
      </c>
      <c r="CD50" s="40">
        <f t="shared" si="70"/>
        <v>825.12587834080955</v>
      </c>
      <c r="CE50" s="40">
        <f t="shared" si="71"/>
        <v>58.565497133082438</v>
      </c>
      <c r="CF50" s="40">
        <f t="shared" si="72"/>
        <v>836.39235632621126</v>
      </c>
      <c r="CG50" s="40">
        <f t="shared" si="73"/>
        <v>64.434248666550047</v>
      </c>
      <c r="CI50" s="208" t="s">
        <v>181</v>
      </c>
      <c r="CJ50" s="48">
        <v>8.5</v>
      </c>
      <c r="CK50" s="40">
        <f t="shared" si="74"/>
        <v>40.431807643421607</v>
      </c>
      <c r="CL50" s="181">
        <f t="shared" si="17"/>
        <v>52.5</v>
      </c>
      <c r="CM50" s="40">
        <f t="shared" si="75"/>
        <v>80.648980928199506</v>
      </c>
      <c r="CN50" s="40">
        <f t="shared" si="76"/>
        <v>80.648980928199506</v>
      </c>
      <c r="CO50" s="40">
        <f t="shared" si="77"/>
        <v>99.351019071800494</v>
      </c>
      <c r="CP50" s="40">
        <f t="shared" si="78"/>
        <v>-260.64898092819953</v>
      </c>
      <c r="CQ50" s="40">
        <f t="shared" si="79"/>
        <v>1.5419188342853556</v>
      </c>
      <c r="CR50" s="40">
        <f t="shared" si="80"/>
        <v>823.15434579066823</v>
      </c>
      <c r="CS50" s="41">
        <f>COS(RADIANS(CK50))*COS(RADIANS(CM50-Insolation!$L$6))*SIN(RADIANS(0))+(SIN(RADIANS(CK50))*COS(RADIANS(0)))</f>
        <v>0.64854256771788987</v>
      </c>
      <c r="CT50" s="41">
        <f>COS(RADIANS(CK50))*COS(RADIANS(CM50-Insolation!$L$6))*SIN(RADIANS(Insolation!$L$7))+SIN(RADIANS(CK50))*COS(RADIANS(Insolation!$L$7))</f>
        <v>0.55713387280623483</v>
      </c>
      <c r="CU50" s="40">
        <f t="shared" si="81"/>
        <v>533.85063304721984</v>
      </c>
      <c r="CV50" s="40">
        <f t="shared" si="82"/>
        <v>96.858983388442994</v>
      </c>
      <c r="CW50" s="40">
        <f t="shared" si="83"/>
        <v>458.6071685876376</v>
      </c>
      <c r="CX50" s="40">
        <f>$CI$55*CR50*((1+COS(RADIANS(Insolation!$L$7)))/2)</f>
        <v>88.387125833461809</v>
      </c>
      <c r="CY50" s="40">
        <f t="shared" si="84"/>
        <v>779.27586583082257</v>
      </c>
      <c r="CZ50" s="40">
        <f t="shared" si="101"/>
        <v>66.288921882624209</v>
      </c>
      <c r="DA50" s="40">
        <f t="shared" si="85"/>
        <v>823.15434579066823</v>
      </c>
      <c r="DB50" s="40">
        <f t="shared" si="86"/>
        <v>79.838078590864129</v>
      </c>
      <c r="DD50" s="208" t="s">
        <v>181</v>
      </c>
      <c r="DE50" s="48">
        <v>8.5</v>
      </c>
      <c r="DF50" s="40">
        <f t="shared" si="87"/>
        <v>43.05189893936106</v>
      </c>
      <c r="DG50" s="181">
        <f t="shared" si="18"/>
        <v>52.5</v>
      </c>
      <c r="DH50" s="40">
        <f t="shared" si="88"/>
        <v>85.59139811862309</v>
      </c>
      <c r="DI50" s="40">
        <f t="shared" si="89"/>
        <v>85.59139811862309</v>
      </c>
      <c r="DJ50" s="40">
        <f t="shared" si="90"/>
        <v>94.40860188137691</v>
      </c>
      <c r="DK50" s="40">
        <f t="shared" si="91"/>
        <v>-265.59139811862309</v>
      </c>
      <c r="DL50" s="40">
        <f t="shared" si="92"/>
        <v>1.4648568841593601</v>
      </c>
      <c r="DM50" s="40">
        <f t="shared" si="93"/>
        <v>805.24311482868302</v>
      </c>
      <c r="DN50" s="41">
        <f>COS(RADIANS(DF50))*COS(RADIANS(DH50-Insolation!$L$6))*SIN(RADIANS(0))+(SIN(RADIANS(DF50))*COS(RADIANS(0)))</f>
        <v>0.68266054575964374</v>
      </c>
      <c r="DO50" s="41">
        <f>COS(RADIANS(DF50))*COS(RADIANS(DH50-Insolation!$L$6))*SIN(RADIANS(Insolation!$L$7))+SIN(RADIANS(DF50))*COS(RADIANS(Insolation!$L$7))</f>
        <v>0.54879772154822204</v>
      </c>
      <c r="DP50" s="40">
        <f t="shared" si="94"/>
        <v>549.70770423814417</v>
      </c>
      <c r="DQ50" s="40">
        <f t="shared" si="95"/>
        <v>105.71276102127827</v>
      </c>
      <c r="DR50" s="40">
        <f t="shared" si="96"/>
        <v>441.91558671037455</v>
      </c>
      <c r="DS50" s="40">
        <f>$DD$55*DM50*((1+COS(RADIANS(Insolation!$L$7)))/2)</f>
        <v>96.466499892102561</v>
      </c>
      <c r="DT50" s="40">
        <f t="shared" si="97"/>
        <v>739.49249603190685</v>
      </c>
      <c r="DU50" s="40">
        <f t="shared" si="98"/>
        <v>70.706572035377874</v>
      </c>
      <c r="DV50" s="40">
        <f t="shared" si="99"/>
        <v>805.24311482868302</v>
      </c>
      <c r="DW50" s="40">
        <f t="shared" si="100"/>
        <v>88.939346076911448</v>
      </c>
    </row>
    <row r="51" spans="1:127" x14ac:dyDescent="0.15">
      <c r="A51" s="48"/>
      <c r="C51" s="207">
        <f>1160+75*SIN(RADIANS((360/365)*(C45-275)))</f>
        <v>1232.9088647471797</v>
      </c>
      <c r="D51" s="48">
        <v>9</v>
      </c>
      <c r="E51" s="40">
        <f t="shared" si="12"/>
        <v>15.759767833313253</v>
      </c>
      <c r="F51" s="181">
        <f t="shared" si="13"/>
        <v>45</v>
      </c>
      <c r="G51" s="40">
        <f t="shared" si="19"/>
        <v>43.210428375454541</v>
      </c>
      <c r="H51" s="40">
        <f t="shared" si="20"/>
        <v>43.210428375454541</v>
      </c>
      <c r="I51" s="40">
        <f t="shared" si="21"/>
        <v>136.78957162454546</v>
      </c>
      <c r="J51" s="40">
        <f t="shared" si="22"/>
        <v>-223.21042837545454</v>
      </c>
      <c r="K51" s="40">
        <f t="shared" si="23"/>
        <v>3.6818237690202578</v>
      </c>
      <c r="L51" s="40">
        <f t="shared" si="24"/>
        <v>738.494002273261</v>
      </c>
      <c r="M51" s="41">
        <f>COS(RADIANS(E51))*COS(RADIANS(G51-Insolation!$L$6))*SIN(RADIANS(0))+(SIN(RADIANS(E51))*COS(RADIANS(0)))</f>
        <v>0.27160452610856561</v>
      </c>
      <c r="N51" s="41">
        <f>COS(RADIANS(E51))*COS(RADIANS(G51-Insolation!$L$6))*SIN(RADIANS(Insolation!$L$7))+SIN(RADIANS(E51))*COS(RADIANS(Insolation!$L$7))</f>
        <v>0.5763634456070923</v>
      </c>
      <c r="O51" s="40">
        <f t="shared" si="25"/>
        <v>200.57831352144703</v>
      </c>
      <c r="P51" s="40">
        <f t="shared" si="26"/>
        <v>40.787971768205445</v>
      </c>
      <c r="Q51" s="40">
        <f t="shared" si="27"/>
        <v>425.64094771038856</v>
      </c>
      <c r="R51" s="40">
        <f>$C$55*L51*((1+COS(RADIANS(Insolation!$L$7)))/2)</f>
        <v>37.220415361062102</v>
      </c>
      <c r="S51" s="40">
        <f t="shared" si="28"/>
        <v>688.19120904318743</v>
      </c>
      <c r="T51" s="40">
        <f t="shared" si="29"/>
        <v>32.67570386663899</v>
      </c>
      <c r="U51" s="40">
        <f t="shared" si="30"/>
        <v>738.494002273261</v>
      </c>
      <c r="V51" s="40">
        <f t="shared" si="31"/>
        <v>25.933084755619216</v>
      </c>
      <c r="X51" s="207">
        <f>1160+75*SIN(RADIANS((360/365)*(X45-275)))</f>
        <v>1213.8257685256972</v>
      </c>
      <c r="Y51" s="48">
        <v>9</v>
      </c>
      <c r="Z51" s="40">
        <f t="shared" si="32"/>
        <v>22.297496227242064</v>
      </c>
      <c r="AA51" s="181">
        <f t="shared" si="14"/>
        <v>45</v>
      </c>
      <c r="AB51" s="40">
        <f t="shared" si="33"/>
        <v>48.055096746270891</v>
      </c>
      <c r="AC51" s="40">
        <f t="shared" si="34"/>
        <v>48.055096746270891</v>
      </c>
      <c r="AD51" s="40">
        <f t="shared" si="35"/>
        <v>131.94490325372911</v>
      </c>
      <c r="AE51" s="40">
        <f t="shared" si="36"/>
        <v>-228.05509674627089</v>
      </c>
      <c r="AF51" s="40">
        <f t="shared" si="37"/>
        <v>2.6356313807450733</v>
      </c>
      <c r="AG51" s="40">
        <f t="shared" si="38"/>
        <v>826.21565059896261</v>
      </c>
      <c r="AH51" s="41">
        <f>COS(RADIANS(Z51))*COS(RADIANS(AB51-Insolation!$L$6))*SIN(RADIANS(0))+(SIN(RADIANS(Z51))*COS(RADIANS(0)))</f>
        <v>0.37941572835473958</v>
      </c>
      <c r="AI51" s="41">
        <f>COS(RADIANS(Z51))*COS(RADIANS(AB51-Insolation!$L$6))*SIN(RADIANS(Insolation!$L$7))+SIN(RADIANS(Z51))*COS(RADIANS(Insolation!$L$7))</f>
        <v>0.61686017967179119</v>
      </c>
      <c r="AJ51" s="40">
        <f t="shared" si="39"/>
        <v>313.47921285009045</v>
      </c>
      <c r="AK51" s="40">
        <f t="shared" si="40"/>
        <v>52.006603893664135</v>
      </c>
      <c r="AL51" s="40">
        <f t="shared" si="41"/>
        <v>509.65953467612195</v>
      </c>
      <c r="AM51" s="40">
        <f>$X$55*AG51*((1+COS(RADIANS(Insolation!$L$7)))/2)</f>
        <v>47.457799800413419</v>
      </c>
      <c r="AN51" s="40">
        <f t="shared" si="42"/>
        <v>804.09157395169109</v>
      </c>
      <c r="AO51" s="40">
        <f t="shared" si="43"/>
        <v>41.135495368754313</v>
      </c>
      <c r="AP51" s="40">
        <f t="shared" si="44"/>
        <v>826.21565059896261</v>
      </c>
      <c r="AQ51" s="40">
        <f t="shared" si="45"/>
        <v>35.869363694617576</v>
      </c>
      <c r="AS51" s="207">
        <f>1160+75*SIN(RADIANS((360/365)*(AS45-275)))</f>
        <v>1183.4830280701869</v>
      </c>
      <c r="AT51" s="48">
        <v>9</v>
      </c>
      <c r="AU51" s="40">
        <f t="shared" si="46"/>
        <v>30.624419563375305</v>
      </c>
      <c r="AV51" s="181">
        <f t="shared" si="15"/>
        <v>45</v>
      </c>
      <c r="AW51" s="40">
        <f t="shared" si="47"/>
        <v>55.157061737737656</v>
      </c>
      <c r="AX51" s="40">
        <f t="shared" si="48"/>
        <v>55.157061737737656</v>
      </c>
      <c r="AY51" s="40">
        <f t="shared" si="49"/>
        <v>124.84293826226235</v>
      </c>
      <c r="AZ51" s="40">
        <f t="shared" si="50"/>
        <v>-235.15706173773765</v>
      </c>
      <c r="BA51" s="40">
        <f t="shared" si="51"/>
        <v>1.9630621614013093</v>
      </c>
      <c r="BB51" s="40">
        <f t="shared" si="52"/>
        <v>866.42804173105424</v>
      </c>
      <c r="BC51" s="41">
        <f>COS(RADIANS(AU51))*COS(RADIANS(AW51-Insolation!$L$6))*SIN(RADIANS(0))+(SIN(RADIANS(AU51))*COS(RADIANS(0)))</f>
        <v>0.5094082192925371</v>
      </c>
      <c r="BD51" s="41">
        <f>COS(RADIANS(AU51))*COS(RADIANS(AW51-Insolation!$L$6))*SIN(RADIANS(Insolation!$L$7))+SIN(RADIANS(AU51))*COS(RADIANS(Insolation!$L$7))</f>
        <v>0.651777867919617</v>
      </c>
      <c r="BE51" s="40">
        <f t="shared" si="53"/>
        <v>441.36556588333639</v>
      </c>
      <c r="BF51" s="40">
        <f t="shared" si="54"/>
        <v>67.311907597951489</v>
      </c>
      <c r="BG51" s="40">
        <f t="shared" si="55"/>
        <v>564.71862174523551</v>
      </c>
      <c r="BH51" s="40">
        <f>$AS$55*BB51*((1+COS(RADIANS(Insolation!$L$7)))/2)</f>
        <v>61.42441143626926</v>
      </c>
      <c r="BI51" s="40">
        <f t="shared" si="56"/>
        <v>865.37965287083557</v>
      </c>
      <c r="BJ51" s="40">
        <f t="shared" si="57"/>
        <v>52.204136119290489</v>
      </c>
      <c r="BK51" s="40">
        <f t="shared" si="58"/>
        <v>866.42804173105424</v>
      </c>
      <c r="BL51" s="40">
        <f t="shared" si="59"/>
        <v>50.800573292303881</v>
      </c>
      <c r="BN51" s="207">
        <f>1160+75*SIN(RADIANS((360/365)*(BN45-275)))</f>
        <v>1143.9859313420152</v>
      </c>
      <c r="BO51" s="48">
        <v>9</v>
      </c>
      <c r="BP51" s="40">
        <f t="shared" si="60"/>
        <v>39.756589498171095</v>
      </c>
      <c r="BQ51" s="181">
        <f t="shared" si="16"/>
        <v>45</v>
      </c>
      <c r="BR51" s="40">
        <f t="shared" si="61"/>
        <v>65.148750109879188</v>
      </c>
      <c r="BS51" s="40">
        <f t="shared" si="62"/>
        <v>65.148750109879188</v>
      </c>
      <c r="BT51" s="40">
        <f t="shared" si="63"/>
        <v>114.85124989012081</v>
      </c>
      <c r="BU51" s="40">
        <f t="shared" si="64"/>
        <v>-245.14875010987919</v>
      </c>
      <c r="BV51" s="40">
        <f t="shared" si="65"/>
        <v>1.5636546097700275</v>
      </c>
      <c r="BW51" s="40">
        <f t="shared" si="66"/>
        <v>867.39398607736837</v>
      </c>
      <c r="BX51" s="41">
        <f>COS(RADIANS(BP51))*COS(RADIANS(BR51-Insolation!$L$6))*SIN(RADIANS(0))+(SIN(RADIANS(BP51))*COS(RADIANS(0)))</f>
        <v>0.63952742105053095</v>
      </c>
      <c r="BY51" s="41">
        <f>COS(RADIANS(BP51))*COS(RADIANS(BR51-Insolation!$L$6))*SIN(RADIANS(Insolation!$L$7))+SIN(RADIANS(BP51))*COS(RADIANS(Insolation!$L$7))</f>
        <v>0.66503789608951558</v>
      </c>
      <c r="BZ51" s="40">
        <f t="shared" si="67"/>
        <v>554.72223895079958</v>
      </c>
      <c r="CA51" s="40">
        <f t="shared" si="68"/>
        <v>85.385042654918493</v>
      </c>
      <c r="CB51" s="40">
        <f t="shared" si="69"/>
        <v>576.84987158159163</v>
      </c>
      <c r="CC51" s="40">
        <f>$BN$55*BW51*((1+COS(RADIANS(Insolation!$L$7)))/2)</f>
        <v>77.916763581644915</v>
      </c>
      <c r="CD51" s="40">
        <f t="shared" si="70"/>
        <v>855.70990602224288</v>
      </c>
      <c r="CE51" s="40">
        <f t="shared" si="71"/>
        <v>64.258896666025535</v>
      </c>
      <c r="CF51" s="40">
        <f t="shared" si="72"/>
        <v>867.39398607736837</v>
      </c>
      <c r="CG51" s="40">
        <f t="shared" si="73"/>
        <v>69.995559390154057</v>
      </c>
      <c r="CI51" s="207">
        <f>1160+75*SIN(RADIANS((360/365)*(CI45-275)))</f>
        <v>1109.895210183985</v>
      </c>
      <c r="CJ51" s="48">
        <v>9</v>
      </c>
      <c r="CK51" s="40">
        <f t="shared" si="74"/>
        <v>46.043222007278089</v>
      </c>
      <c r="CL51" s="181">
        <f t="shared" si="17"/>
        <v>45</v>
      </c>
      <c r="CM51" s="40">
        <f t="shared" si="75"/>
        <v>74.668739438294409</v>
      </c>
      <c r="CN51" s="40">
        <f t="shared" si="76"/>
        <v>74.668739438294409</v>
      </c>
      <c r="CO51" s="40">
        <f t="shared" si="77"/>
        <v>105.33126056170559</v>
      </c>
      <c r="CP51" s="40">
        <f t="shared" si="78"/>
        <v>-254.66873943829441</v>
      </c>
      <c r="CQ51" s="40">
        <f t="shared" si="79"/>
        <v>1.3891520126052221</v>
      </c>
      <c r="CR51" s="40">
        <f t="shared" si="80"/>
        <v>847.89364850795175</v>
      </c>
      <c r="CS51" s="41">
        <f>COS(RADIANS(CK51))*COS(RADIANS(CM51-Insolation!$L$6))*SIN(RADIANS(0))+(SIN(RADIANS(CK51))*COS(RADIANS(0)))</f>
        <v>0.71986362250204383</v>
      </c>
      <c r="CT51" s="41">
        <f>COS(RADIANS(CK51))*COS(RADIANS(CM51-Insolation!$L$6))*SIN(RADIANS(Insolation!$L$7))+SIN(RADIANS(CK51))*COS(RADIANS(Insolation!$L$7))</f>
        <v>0.65473490577548654</v>
      </c>
      <c r="CU51" s="40">
        <f t="shared" si="81"/>
        <v>610.36779331140883</v>
      </c>
      <c r="CV51" s="40">
        <f t="shared" si="82"/>
        <v>99.770009398557008</v>
      </c>
      <c r="CW51" s="40">
        <f t="shared" si="83"/>
        <v>555.1455680634873</v>
      </c>
      <c r="CX51" s="40">
        <f>$CI$55*CR51*((1+COS(RADIANS(Insolation!$L$7)))/2)</f>
        <v>91.043536351715588</v>
      </c>
      <c r="CY51" s="40">
        <f t="shared" si="84"/>
        <v>802.69643287714484</v>
      </c>
      <c r="CZ51" s="40">
        <f t="shared" si="101"/>
        <v>72.727056814079916</v>
      </c>
      <c r="DA51" s="40">
        <f t="shared" si="85"/>
        <v>847.89364850795175</v>
      </c>
      <c r="DB51" s="40">
        <f t="shared" si="86"/>
        <v>85.795404890632611</v>
      </c>
      <c r="DD51" s="207">
        <f>1160+75*SIN(RADIANS((360/365)*(DD45-275)))</f>
        <v>1088.4739252527165</v>
      </c>
      <c r="DE51" s="48">
        <v>9</v>
      </c>
      <c r="DF51" s="40">
        <f t="shared" si="87"/>
        <v>48.750534812115596</v>
      </c>
      <c r="DG51" s="181">
        <f t="shared" si="18"/>
        <v>45</v>
      </c>
      <c r="DH51" s="40">
        <f t="shared" si="88"/>
        <v>80.023719021658636</v>
      </c>
      <c r="DI51" s="40">
        <f t="shared" si="89"/>
        <v>80.023719021658636</v>
      </c>
      <c r="DJ51" s="40">
        <f t="shared" si="90"/>
        <v>99.976280978341364</v>
      </c>
      <c r="DK51" s="40">
        <f t="shared" si="91"/>
        <v>-260.02371902165862</v>
      </c>
      <c r="DL51" s="40">
        <f t="shared" si="92"/>
        <v>1.3300596806142229</v>
      </c>
      <c r="DM51" s="40">
        <f t="shared" si="93"/>
        <v>827.88822692214001</v>
      </c>
      <c r="DN51" s="41">
        <f>COS(RADIANS(DF51))*COS(RADIANS(DH51-Insolation!$L$6))*SIN(RADIANS(0))+(SIN(RADIANS(DF51))*COS(RADIANS(0)))</f>
        <v>0.75184596193322617</v>
      </c>
      <c r="DO51" s="41">
        <f>COS(RADIANS(DF51))*COS(RADIANS(DH51-Insolation!$L$6))*SIN(RADIANS(Insolation!$L$7))+SIN(RADIANS(DF51))*COS(RADIANS(Insolation!$L$7))</f>
        <v>0.64347618789150896</v>
      </c>
      <c r="DP51" s="40">
        <f t="shared" si="94"/>
        <v>622.44442034346935</v>
      </c>
      <c r="DQ51" s="40">
        <f t="shared" si="95"/>
        <v>108.68562384860586</v>
      </c>
      <c r="DR51" s="40">
        <f t="shared" si="96"/>
        <v>532.72636026011912</v>
      </c>
      <c r="DS51" s="40">
        <f>$DD$55*DM51*((1+COS(RADIANS(Insolation!$L$7)))/2)</f>
        <v>99.179338615082344</v>
      </c>
      <c r="DT51" s="40">
        <f t="shared" si="97"/>
        <v>760.28856389828718</v>
      </c>
      <c r="DU51" s="40">
        <f t="shared" si="98"/>
        <v>77.683299597513013</v>
      </c>
      <c r="DV51" s="40">
        <f t="shared" si="99"/>
        <v>827.88822692214001</v>
      </c>
      <c r="DW51" s="40">
        <f t="shared" si="100"/>
        <v>95.200235629686858</v>
      </c>
    </row>
    <row r="52" spans="1:127" x14ac:dyDescent="0.15">
      <c r="A52" s="48"/>
      <c r="C52" s="208" t="s">
        <v>184</v>
      </c>
      <c r="D52" s="48">
        <v>9.5</v>
      </c>
      <c r="E52" s="40">
        <f t="shared" si="12"/>
        <v>19.461472975519321</v>
      </c>
      <c r="F52" s="181">
        <f t="shared" si="13"/>
        <v>37.5</v>
      </c>
      <c r="G52" s="40">
        <f t="shared" si="19"/>
        <v>36.989702189702015</v>
      </c>
      <c r="H52" s="40">
        <f t="shared" si="20"/>
        <v>36.989702189702015</v>
      </c>
      <c r="I52" s="40">
        <f t="shared" si="21"/>
        <v>143.01029781029797</v>
      </c>
      <c r="J52" s="40">
        <f t="shared" si="22"/>
        <v>-216.98970218970203</v>
      </c>
      <c r="K52" s="40">
        <f t="shared" si="23"/>
        <v>3.0014443286935921</v>
      </c>
      <c r="L52" s="40">
        <f t="shared" si="24"/>
        <v>811.85634805582038</v>
      </c>
      <c r="M52" s="41">
        <f>COS(RADIANS(E52))*COS(RADIANS(G52-Insolation!$L$6))*SIN(RADIANS(0))+(SIN(RADIANS(E52))*COS(RADIANS(0)))</f>
        <v>0.3331729295926204</v>
      </c>
      <c r="N52" s="41">
        <f>COS(RADIANS(E52))*COS(RADIANS(G52-Insolation!$L$6))*SIN(RADIANS(Insolation!$L$7))+SIN(RADIANS(E52))*COS(RADIANS(Insolation!$L$7))</f>
        <v>0.66195387204217881</v>
      </c>
      <c r="O52" s="40">
        <f t="shared" si="25"/>
        <v>270.48855789012379</v>
      </c>
      <c r="P52" s="40">
        <f t="shared" si="26"/>
        <v>44.839868302797925</v>
      </c>
      <c r="Q52" s="40">
        <f t="shared" si="27"/>
        <v>537.41145313757306</v>
      </c>
      <c r="R52" s="40">
        <f>$C$55*L52*((1+COS(RADIANS(Insolation!$L$7)))/2)</f>
        <v>40.917909143656615</v>
      </c>
      <c r="S52" s="40">
        <f t="shared" si="28"/>
        <v>756.55645139712931</v>
      </c>
      <c r="T52" s="40">
        <f t="shared" si="29"/>
        <v>37.049115971807375</v>
      </c>
      <c r="U52" s="40">
        <f t="shared" si="30"/>
        <v>811.85634805582038</v>
      </c>
      <c r="V52" s="40">
        <f t="shared" si="31"/>
        <v>29.889649293894195</v>
      </c>
      <c r="X52" s="208" t="s">
        <v>184</v>
      </c>
      <c r="Y52" s="48">
        <v>9.5</v>
      </c>
      <c r="Z52" s="40">
        <f t="shared" si="32"/>
        <v>26.341170999848089</v>
      </c>
      <c r="AA52" s="181">
        <f t="shared" si="14"/>
        <v>37.5</v>
      </c>
      <c r="AB52" s="40">
        <f t="shared" si="33"/>
        <v>41.38413513397802</v>
      </c>
      <c r="AC52" s="40">
        <f t="shared" si="34"/>
        <v>41.38413513397802</v>
      </c>
      <c r="AD52" s="40">
        <f t="shared" si="35"/>
        <v>138.61586486602198</v>
      </c>
      <c r="AE52" s="40">
        <f t="shared" si="36"/>
        <v>-221.38413513397802</v>
      </c>
      <c r="AF52" s="40">
        <f t="shared" si="37"/>
        <v>2.2536975414304368</v>
      </c>
      <c r="AG52" s="40">
        <f t="shared" si="38"/>
        <v>873.58022070136622</v>
      </c>
      <c r="AH52" s="41">
        <f>COS(RADIANS(Z52))*COS(RADIANS(AB52-Insolation!$L$6))*SIN(RADIANS(0))+(SIN(RADIANS(Z52))*COS(RADIANS(0)))</f>
        <v>0.44371526418992913</v>
      </c>
      <c r="AI52" s="41">
        <f>COS(RADIANS(Z52))*COS(RADIANS(AB52-Insolation!$L$6))*SIN(RADIANS(Insolation!$L$7))+SIN(RADIANS(Z52))*COS(RADIANS(Insolation!$L$7))</f>
        <v>0.70624733899836512</v>
      </c>
      <c r="AJ52" s="40">
        <f t="shared" si="39"/>
        <v>387.62087841960329</v>
      </c>
      <c r="AK52" s="40">
        <f t="shared" si="40"/>
        <v>54.98799311586496</v>
      </c>
      <c r="AL52" s="40">
        <f t="shared" si="41"/>
        <v>616.96370627194437</v>
      </c>
      <c r="AM52" s="40">
        <f>$X$55*AG52*((1+COS(RADIANS(Insolation!$L$7)))/2)</f>
        <v>50.178419149517943</v>
      </c>
      <c r="AN52" s="40">
        <f t="shared" si="42"/>
        <v>850.18783428708537</v>
      </c>
      <c r="AO52" s="40">
        <f t="shared" si="43"/>
        <v>45.030540227725858</v>
      </c>
      <c r="AP52" s="40">
        <f t="shared" si="44"/>
        <v>873.58022070136622</v>
      </c>
      <c r="AQ52" s="40">
        <f t="shared" si="45"/>
        <v>39.693502504272494</v>
      </c>
      <c r="AS52" s="208" t="s">
        <v>184</v>
      </c>
      <c r="AT52" s="48">
        <v>9.5</v>
      </c>
      <c r="AU52" s="40">
        <f t="shared" si="46"/>
        <v>35.127437175376805</v>
      </c>
      <c r="AV52" s="181">
        <f t="shared" si="15"/>
        <v>37.5</v>
      </c>
      <c r="AW52" s="40">
        <f t="shared" si="47"/>
        <v>48.023644180514275</v>
      </c>
      <c r="AX52" s="40">
        <f t="shared" si="48"/>
        <v>48.023644180514275</v>
      </c>
      <c r="AY52" s="40">
        <f t="shared" si="49"/>
        <v>131.97635581948572</v>
      </c>
      <c r="AZ52" s="40">
        <f t="shared" si="50"/>
        <v>-228.02364418051428</v>
      </c>
      <c r="BA52" s="40">
        <f t="shared" si="51"/>
        <v>1.737930589641439</v>
      </c>
      <c r="BB52" s="40">
        <f t="shared" si="52"/>
        <v>897.97466366576805</v>
      </c>
      <c r="BC52" s="41">
        <f>COS(RADIANS(AU52))*COS(RADIANS(AW52-Insolation!$L$6))*SIN(RADIANS(0))+(SIN(RADIANS(AU52))*COS(RADIANS(0)))</f>
        <v>0.57539697267559742</v>
      </c>
      <c r="BD52" s="41">
        <f>COS(RADIANS(AU52))*COS(RADIANS(AW52-Insolation!$L$6))*SIN(RADIANS(Insolation!$L$7))+SIN(RADIANS(AU52))*COS(RADIANS(Insolation!$L$7))</f>
        <v>0.74351332348390864</v>
      </c>
      <c r="BE52" s="40">
        <f t="shared" si="53"/>
        <v>516.69190301267076</v>
      </c>
      <c r="BF52" s="40">
        <f t="shared" si="54"/>
        <v>69.762732361718889</v>
      </c>
      <c r="BG52" s="40">
        <f t="shared" si="55"/>
        <v>667.65612658648024</v>
      </c>
      <c r="BH52" s="40">
        <f>$AS$55*BB52*((1+COS(RADIANS(Insolation!$L$7)))/2)</f>
        <v>63.660872621517676</v>
      </c>
      <c r="BI52" s="40">
        <f t="shared" si="56"/>
        <v>896.88810299505747</v>
      </c>
      <c r="BJ52" s="40">
        <f t="shared" si="57"/>
        <v>56.330715851727355</v>
      </c>
      <c r="BK52" s="40">
        <f t="shared" si="58"/>
        <v>897.97466366576805</v>
      </c>
      <c r="BL52" s="40">
        <f t="shared" si="59"/>
        <v>54.951998684114933</v>
      </c>
      <c r="BN52" s="208" t="s">
        <v>184</v>
      </c>
      <c r="BO52" s="48">
        <v>9.5</v>
      </c>
      <c r="BP52" s="40">
        <f t="shared" si="60"/>
        <v>44.805809361079106</v>
      </c>
      <c r="BQ52" s="181">
        <f t="shared" si="16"/>
        <v>37.5</v>
      </c>
      <c r="BR52" s="40">
        <f t="shared" si="61"/>
        <v>57.828466219471395</v>
      </c>
      <c r="BS52" s="40">
        <f t="shared" si="62"/>
        <v>57.828466219471395</v>
      </c>
      <c r="BT52" s="40">
        <f t="shared" si="63"/>
        <v>122.17153378052861</v>
      </c>
      <c r="BU52" s="40">
        <f t="shared" si="64"/>
        <v>-237.82846621947141</v>
      </c>
      <c r="BV52" s="40">
        <f t="shared" si="65"/>
        <v>1.4190311776108613</v>
      </c>
      <c r="BW52" s="40">
        <f t="shared" si="66"/>
        <v>889.88559867222739</v>
      </c>
      <c r="BX52" s="41">
        <f>COS(RADIANS(BP52))*COS(RADIANS(BR52-Insolation!$L$6))*SIN(RADIANS(0))+(SIN(RADIANS(BP52))*COS(RADIANS(0)))</f>
        <v>0.70470615147698212</v>
      </c>
      <c r="BY52" s="41">
        <f>COS(RADIANS(BP52))*COS(RADIANS(BR52-Insolation!$L$6))*SIN(RADIANS(Insolation!$L$7))+SIN(RADIANS(BP52))*COS(RADIANS(Insolation!$L$7))</f>
        <v>0.7556472836326289</v>
      </c>
      <c r="BZ52" s="40">
        <f t="shared" si="67"/>
        <v>627.10785549509558</v>
      </c>
      <c r="CA52" s="40">
        <f t="shared" si="68"/>
        <v>87.599085329430011</v>
      </c>
      <c r="CB52" s="40">
        <f t="shared" si="69"/>
        <v>672.43963538046432</v>
      </c>
      <c r="CC52" s="40">
        <f>$BN$55*BW52*((1+COS(RADIANS(Insolation!$L$7)))/2)</f>
        <v>79.937153034710903</v>
      </c>
      <c r="CD52" s="40">
        <f t="shared" si="70"/>
        <v>877.89854925560599</v>
      </c>
      <c r="CE52" s="40">
        <f t="shared" si="71"/>
        <v>69.166132343057328</v>
      </c>
      <c r="CF52" s="40">
        <f t="shared" si="72"/>
        <v>889.88559867222739</v>
      </c>
      <c r="CG52" s="40">
        <f t="shared" si="73"/>
        <v>74.665349812418185</v>
      </c>
      <c r="CI52" s="208" t="s">
        <v>184</v>
      </c>
      <c r="CJ52" s="48">
        <v>9.5</v>
      </c>
      <c r="CK52" s="40">
        <f t="shared" si="74"/>
        <v>51.48181225638448</v>
      </c>
      <c r="CL52" s="181">
        <f t="shared" si="17"/>
        <v>37.5</v>
      </c>
      <c r="CM52" s="40">
        <f t="shared" si="75"/>
        <v>67.730281954853325</v>
      </c>
      <c r="CN52" s="40">
        <f t="shared" si="76"/>
        <v>67.730281954853325</v>
      </c>
      <c r="CO52" s="40">
        <f t="shared" si="77"/>
        <v>112.26971804514667</v>
      </c>
      <c r="CP52" s="40">
        <f t="shared" si="78"/>
        <v>-247.73028195485333</v>
      </c>
      <c r="CQ52" s="40">
        <f t="shared" si="79"/>
        <v>1.2781014424927413</v>
      </c>
      <c r="CR52" s="40">
        <f t="shared" si="80"/>
        <v>866.34278163082433</v>
      </c>
      <c r="CS52" s="41">
        <f>COS(RADIANS(CK52))*COS(RADIANS(CM52-Insolation!$L$6))*SIN(RADIANS(0))+(SIN(RADIANS(CK52))*COS(RADIANS(0)))</f>
        <v>0.78241050886356334</v>
      </c>
      <c r="CT52" s="41">
        <f>COS(RADIANS(CK52))*COS(RADIANS(CM52-Insolation!$L$6))*SIN(RADIANS(Insolation!$L$7))+SIN(RADIANS(CK52))*COS(RADIANS(Insolation!$L$7))</f>
        <v>0.74168558782875471</v>
      </c>
      <c r="CU52" s="40">
        <f t="shared" si="81"/>
        <v>677.83569662604816</v>
      </c>
      <c r="CV52" s="40">
        <f t="shared" si="82"/>
        <v>101.94088329094113</v>
      </c>
      <c r="CW52" s="40">
        <f t="shared" si="83"/>
        <v>642.55395525505639</v>
      </c>
      <c r="CX52" s="40">
        <f>$CI$55*CR52*((1+COS(RADIANS(Insolation!$L$7)))/2)</f>
        <v>93.024532818767369</v>
      </c>
      <c r="CY52" s="40">
        <f t="shared" si="84"/>
        <v>820.16212963459202</v>
      </c>
      <c r="CZ52" s="40">
        <f t="shared" si="101"/>
        <v>78.499164050048932</v>
      </c>
      <c r="DA52" s="40">
        <f t="shared" si="85"/>
        <v>866.34278163082433</v>
      </c>
      <c r="DB52" s="40">
        <f t="shared" si="86"/>
        <v>90.85025083030375</v>
      </c>
      <c r="DD52" s="208" t="s">
        <v>184</v>
      </c>
      <c r="DE52" s="48">
        <v>9.5</v>
      </c>
      <c r="DF52" s="40">
        <f t="shared" si="87"/>
        <v>54.342872478277215</v>
      </c>
      <c r="DG52" s="181">
        <f t="shared" si="18"/>
        <v>37.5</v>
      </c>
      <c r="DH52" s="40">
        <f t="shared" si="88"/>
        <v>73.543699790339687</v>
      </c>
      <c r="DI52" s="40">
        <f t="shared" si="89"/>
        <v>73.543699790339687</v>
      </c>
      <c r="DJ52" s="40">
        <f t="shared" si="90"/>
        <v>106.45630020966031</v>
      </c>
      <c r="DK52" s="40">
        <f t="shared" si="91"/>
        <v>-253.5436997903397</v>
      </c>
      <c r="DL52" s="40">
        <f t="shared" si="92"/>
        <v>1.2307390212388383</v>
      </c>
      <c r="DM52" s="40">
        <f t="shared" si="93"/>
        <v>844.97997657267513</v>
      </c>
      <c r="DN52" s="41">
        <f>COS(RADIANS(DF52))*COS(RADIANS(DH52-Insolation!$L$6))*SIN(RADIANS(0))+(SIN(RADIANS(DF52))*COS(RADIANS(0)))</f>
        <v>0.81251994349981627</v>
      </c>
      <c r="DO52" s="41">
        <f>COS(RADIANS(DF52))*COS(RADIANS(DH52-Insolation!$L$6))*SIN(RADIANS(Insolation!$L$7))+SIN(RADIANS(DF52))*COS(RADIANS(Insolation!$L$7))</f>
        <v>0.7278232175679229</v>
      </c>
      <c r="DP52" s="40">
        <f t="shared" si="94"/>
        <v>686.5630828233061</v>
      </c>
      <c r="DQ52" s="40">
        <f t="shared" si="95"/>
        <v>110.9294381861267</v>
      </c>
      <c r="DR52" s="40">
        <f t="shared" si="96"/>
        <v>614.99604532959256</v>
      </c>
      <c r="DS52" s="40">
        <f>$DD$55*DM52*((1+COS(RADIANS(Insolation!$L$7)))/2)</f>
        <v>101.22689572604253</v>
      </c>
      <c r="DT52" s="40">
        <f t="shared" si="97"/>
        <v>775.98471873385597</v>
      </c>
      <c r="DU52" s="40">
        <f t="shared" si="98"/>
        <v>84.054775205771293</v>
      </c>
      <c r="DV52" s="40">
        <f t="shared" si="99"/>
        <v>844.97997657267513</v>
      </c>
      <c r="DW52" s="40">
        <f t="shared" si="100"/>
        <v>100.53090951679238</v>
      </c>
    </row>
    <row r="53" spans="1:127" x14ac:dyDescent="0.15">
      <c r="A53" s="48"/>
      <c r="C53" s="41">
        <f>0.174+0.035*SIN(RADIANS(360/365*(C45-100)))</f>
        <v>0.13920237325871165</v>
      </c>
      <c r="D53" s="48">
        <v>10</v>
      </c>
      <c r="E53" s="40">
        <f t="shared" si="12"/>
        <v>22.64690490187699</v>
      </c>
      <c r="F53" s="181">
        <f t="shared" si="13"/>
        <v>30</v>
      </c>
      <c r="G53" s="40">
        <f t="shared" si="19"/>
        <v>30.322734633189413</v>
      </c>
      <c r="H53" s="40">
        <f t="shared" si="20"/>
        <v>30.322734633189413</v>
      </c>
      <c r="I53" s="40">
        <f t="shared" si="21"/>
        <v>149.67726536681059</v>
      </c>
      <c r="J53" s="40">
        <f t="shared" si="22"/>
        <v>-210.32273463318941</v>
      </c>
      <c r="K53" s="40">
        <f t="shared" si="23"/>
        <v>2.5970587386952113</v>
      </c>
      <c r="L53" s="40">
        <f t="shared" si="24"/>
        <v>858.86765986049454</v>
      </c>
      <c r="M53" s="41">
        <f>COS(RADIANS(E53))*COS(RADIANS(G53-Insolation!$L$6))*SIN(RADIANS(0))+(SIN(RADIANS(E53))*COS(RADIANS(0)))</f>
        <v>0.38505097520528558</v>
      </c>
      <c r="N53" s="41">
        <f>COS(RADIANS(E53))*COS(RADIANS(G53-Insolation!$L$6))*SIN(RADIANS(Insolation!$L$7))+SIN(RADIANS(E53))*COS(RADIANS(Insolation!$L$7))</f>
        <v>0.73559608562021528</v>
      </c>
      <c r="O53" s="40">
        <f t="shared" si="25"/>
        <v>330.70783000156496</v>
      </c>
      <c r="P53" s="40">
        <f t="shared" si="26"/>
        <v>47.436363403330688</v>
      </c>
      <c r="Q53" s="40">
        <f t="shared" si="27"/>
        <v>631.77968865917433</v>
      </c>
      <c r="R53" s="40">
        <f>$C$55*L53*((1+COS(RADIANS(Insolation!$L$7)))/2)</f>
        <v>43.287299479464536</v>
      </c>
      <c r="S53" s="40">
        <f t="shared" si="28"/>
        <v>800.36557023895523</v>
      </c>
      <c r="T53" s="40">
        <f t="shared" si="29"/>
        <v>40.169297050452705</v>
      </c>
      <c r="U53" s="40">
        <f t="shared" si="30"/>
        <v>858.86765986049454</v>
      </c>
      <c r="V53" s="40">
        <f t="shared" si="31"/>
        <v>32.850890695987744</v>
      </c>
      <c r="X53" s="41">
        <f>0.174+0.035*SIN(RADIANS(360/365*(X45-100)))</f>
        <v>0.1459523619138863</v>
      </c>
      <c r="Y53" s="48">
        <v>10</v>
      </c>
      <c r="Z53" s="40">
        <f t="shared" si="32"/>
        <v>29.86080431422921</v>
      </c>
      <c r="AA53" s="181">
        <f t="shared" si="14"/>
        <v>30</v>
      </c>
      <c r="AB53" s="40">
        <f t="shared" si="33"/>
        <v>34.132239741123755</v>
      </c>
      <c r="AC53" s="40">
        <f t="shared" si="34"/>
        <v>34.132239741123755</v>
      </c>
      <c r="AD53" s="40">
        <f t="shared" si="35"/>
        <v>145.86776025887625</v>
      </c>
      <c r="AE53" s="40">
        <f t="shared" si="36"/>
        <v>-214.13223974112375</v>
      </c>
      <c r="AF53" s="40">
        <f t="shared" si="37"/>
        <v>2.0084572741791122</v>
      </c>
      <c r="AG53" s="40">
        <f t="shared" si="38"/>
        <v>905.41496170981304</v>
      </c>
      <c r="AH53" s="41">
        <f>COS(RADIANS(Z53))*COS(RADIANS(AB53-Insolation!$L$6))*SIN(RADIANS(0))+(SIN(RADIANS(Z53))*COS(RADIANS(0)))</f>
        <v>0.49789458449332236</v>
      </c>
      <c r="AI53" s="41">
        <f>COS(RADIANS(Z53))*COS(RADIANS(AB53-Insolation!$L$6))*SIN(RADIANS(Insolation!$L$7))+SIN(RADIANS(Z53))*COS(RADIANS(Insolation!$L$7))</f>
        <v>0.7831562709015607</v>
      </c>
      <c r="AJ53" s="40">
        <f t="shared" si="39"/>
        <v>450.80120615454473</v>
      </c>
      <c r="AK53" s="40">
        <f t="shared" si="40"/>
        <v>56.991848603815896</v>
      </c>
      <c r="AL53" s="40">
        <f t="shared" si="41"/>
        <v>709.08140503113657</v>
      </c>
      <c r="AM53" s="40">
        <f>$X$55*AG53*((1+COS(RADIANS(Insolation!$L$7)))/2)</f>
        <v>52.007005626161934</v>
      </c>
      <c r="AN53" s="40">
        <f t="shared" si="42"/>
        <v>881.17011716355864</v>
      </c>
      <c r="AO53" s="40">
        <f t="shared" si="43"/>
        <v>47.984577511838275</v>
      </c>
      <c r="AP53" s="40">
        <f t="shared" si="44"/>
        <v>905.41496170981304</v>
      </c>
      <c r="AQ53" s="40">
        <f t="shared" si="45"/>
        <v>42.683890691959576</v>
      </c>
      <c r="AS53" s="41">
        <f>0.174+0.035*SIN(RADIANS(360/365*(AS45-100)))</f>
        <v>0.15885285426073489</v>
      </c>
      <c r="AT53" s="48">
        <v>10</v>
      </c>
      <c r="AU53" s="40">
        <f t="shared" si="46"/>
        <v>39.123912850117364</v>
      </c>
      <c r="AV53" s="181">
        <f t="shared" si="15"/>
        <v>30</v>
      </c>
      <c r="AW53" s="40">
        <f t="shared" si="47"/>
        <v>40.070533913244866</v>
      </c>
      <c r="AX53" s="40">
        <f t="shared" si="48"/>
        <v>40.070533913244866</v>
      </c>
      <c r="AY53" s="40">
        <f t="shared" si="49"/>
        <v>139.92946608675513</v>
      </c>
      <c r="AZ53" s="40">
        <f t="shared" si="50"/>
        <v>-220.07053391324487</v>
      </c>
      <c r="BA53" s="40">
        <f t="shared" si="51"/>
        <v>1.5847869539073469</v>
      </c>
      <c r="BB53" s="40">
        <f t="shared" si="52"/>
        <v>920.0878525366968</v>
      </c>
      <c r="BC53" s="41">
        <f>COS(RADIANS(AU53))*COS(RADIANS(AW53-Insolation!$L$6))*SIN(RADIANS(0))+(SIN(RADIANS(AU53))*COS(RADIANS(0)))</f>
        <v>0.63099964164550038</v>
      </c>
      <c r="BD53" s="41">
        <f>COS(RADIANS(AU53))*COS(RADIANS(AW53-Insolation!$L$6))*SIN(RADIANS(Insolation!$L$7))+SIN(RADIANS(AU53))*COS(RADIANS(Insolation!$L$7))</f>
        <v>0.82244273525016065</v>
      </c>
      <c r="BE53" s="40">
        <f t="shared" si="53"/>
        <v>580.5751052330337</v>
      </c>
      <c r="BF53" s="40">
        <f t="shared" si="54"/>
        <v>71.480683367785289</v>
      </c>
      <c r="BG53" s="40">
        <f t="shared" si="55"/>
        <v>756.71957011072743</v>
      </c>
      <c r="BH53" s="40">
        <f>$AS$55*BB53*((1+COS(RADIANS(Insolation!$L$7)))/2)</f>
        <v>65.228561507327626</v>
      </c>
      <c r="BI53" s="40">
        <f t="shared" si="56"/>
        <v>918.97453462850126</v>
      </c>
      <c r="BJ53" s="40">
        <f t="shared" si="57"/>
        <v>59.628766480675935</v>
      </c>
      <c r="BK53" s="40">
        <f t="shared" si="58"/>
        <v>920.0878525366968</v>
      </c>
      <c r="BL53" s="40">
        <f t="shared" si="59"/>
        <v>58.292484478716645</v>
      </c>
      <c r="BN53" s="41">
        <f>0.174+0.035*SIN(RADIANS(360/365*(BN45-100)))</f>
        <v>0.17700876795581061</v>
      </c>
      <c r="BO53" s="48">
        <v>10</v>
      </c>
      <c r="BP53" s="40">
        <f t="shared" si="60"/>
        <v>49.431263369026283</v>
      </c>
      <c r="BQ53" s="181">
        <f t="shared" si="16"/>
        <v>30</v>
      </c>
      <c r="BR53" s="40">
        <f t="shared" si="61"/>
        <v>49.327665821251074</v>
      </c>
      <c r="BS53" s="40">
        <f t="shared" si="62"/>
        <v>49.327665821251074</v>
      </c>
      <c r="BT53" s="40">
        <f t="shared" si="63"/>
        <v>130.67233417874894</v>
      </c>
      <c r="BU53" s="40">
        <f t="shared" si="64"/>
        <v>-229.32766582125106</v>
      </c>
      <c r="BV53" s="40">
        <f t="shared" si="65"/>
        <v>1.3164367995929396</v>
      </c>
      <c r="BW53" s="40">
        <f t="shared" si="66"/>
        <v>906.19364381360026</v>
      </c>
      <c r="BX53" s="41">
        <f>COS(RADIANS(BP53))*COS(RADIANS(BR53-Insolation!$L$6))*SIN(RADIANS(0))+(SIN(RADIANS(BP53))*COS(RADIANS(0)))</f>
        <v>0.75962628840914648</v>
      </c>
      <c r="BY53" s="41">
        <f>COS(RADIANS(BP53))*COS(RADIANS(BR53-Insolation!$L$6))*SIN(RADIANS(Insolation!$L$7))+SIN(RADIANS(BP53))*COS(RADIANS(Insolation!$L$7))</f>
        <v>0.83360782370174191</v>
      </c>
      <c r="BZ53" s="40">
        <f t="shared" si="67"/>
        <v>688.36851423008522</v>
      </c>
      <c r="CA53" s="40">
        <f t="shared" si="68"/>
        <v>89.204426330595609</v>
      </c>
      <c r="CB53" s="40">
        <f t="shared" si="69"/>
        <v>755.41011127180684</v>
      </c>
      <c r="CC53" s="40">
        <f>$BN$55*BW53*((1+COS(RADIANS(Insolation!$L$7)))/2)</f>
        <v>81.402081450349939</v>
      </c>
      <c r="CD53" s="40">
        <f t="shared" si="70"/>
        <v>893.9869197070077</v>
      </c>
      <c r="CE53" s="40">
        <f t="shared" si="71"/>
        <v>73.281723941942673</v>
      </c>
      <c r="CF53" s="40">
        <f t="shared" si="72"/>
        <v>906.19364381360026</v>
      </c>
      <c r="CG53" s="40">
        <f t="shared" si="73"/>
        <v>78.483226806886549</v>
      </c>
      <c r="CI53" s="41">
        <f>0.174+0.035*SIN(RADIANS(360/365*(CI45-100)))</f>
        <v>0.1938345614701891</v>
      </c>
      <c r="CJ53" s="48">
        <v>10</v>
      </c>
      <c r="CK53" s="40">
        <f t="shared" si="74"/>
        <v>56.627609716549912</v>
      </c>
      <c r="CL53" s="181">
        <f t="shared" si="17"/>
        <v>30</v>
      </c>
      <c r="CM53" s="40">
        <f t="shared" si="75"/>
        <v>59.373773241959427</v>
      </c>
      <c r="CN53" s="40">
        <f t="shared" si="76"/>
        <v>59.373773241959427</v>
      </c>
      <c r="CO53" s="40">
        <f t="shared" si="77"/>
        <v>120.62622675804057</v>
      </c>
      <c r="CP53" s="40">
        <f t="shared" si="78"/>
        <v>-239.37377324195944</v>
      </c>
      <c r="CQ53" s="40">
        <f t="shared" si="79"/>
        <v>1.1974426950601886</v>
      </c>
      <c r="CR53" s="40">
        <f t="shared" si="80"/>
        <v>879.99401378106552</v>
      </c>
      <c r="CS53" s="41">
        <f>COS(RADIANS(CK53))*COS(RADIANS(CM53-Insolation!$L$6))*SIN(RADIANS(0))+(SIN(RADIANS(CK53))*COS(RADIANS(0)))</f>
        <v>0.83511303223553057</v>
      </c>
      <c r="CT53" s="41">
        <f>COS(RADIANS(CK53))*COS(RADIANS(CM53-Insolation!$L$6))*SIN(RADIANS(Insolation!$L$7))+SIN(RADIANS(CK53))*COS(RADIANS(Insolation!$L$7))</f>
        <v>0.81649816868882363</v>
      </c>
      <c r="CU53" s="40">
        <f t="shared" si="81"/>
        <v>734.89446919782085</v>
      </c>
      <c r="CV53" s="40">
        <f t="shared" si="82"/>
        <v>103.54719743461722</v>
      </c>
      <c r="CW53" s="40">
        <f t="shared" si="83"/>
        <v>718.51350070936746</v>
      </c>
      <c r="CX53" s="40">
        <f>$CI$55*CR53*((1+COS(RADIANS(Insolation!$L$7)))/2)</f>
        <v>94.490349260137407</v>
      </c>
      <c r="CY53" s="40">
        <f t="shared" si="84"/>
        <v>833.08567891539974</v>
      </c>
      <c r="CZ53" s="40">
        <f t="shared" si="101"/>
        <v>83.531480624169873</v>
      </c>
      <c r="DA53" s="40">
        <f t="shared" si="85"/>
        <v>879.99401378106552</v>
      </c>
      <c r="DB53" s="40">
        <f t="shared" si="86"/>
        <v>95.010405731865788</v>
      </c>
      <c r="DD53" s="41">
        <f>0.174+0.035*SIN(RADIANS(360/365*(DD45-100)))</f>
        <v>0.20574548344809224</v>
      </c>
      <c r="DE53" s="48">
        <v>10</v>
      </c>
      <c r="DF53" s="40">
        <f t="shared" si="87"/>
        <v>59.728265461819312</v>
      </c>
      <c r="DG53" s="181">
        <f t="shared" si="18"/>
        <v>30</v>
      </c>
      <c r="DH53" s="40">
        <f t="shared" si="88"/>
        <v>65.626514636477467</v>
      </c>
      <c r="DI53" s="40">
        <f t="shared" si="89"/>
        <v>65.626514636477467</v>
      </c>
      <c r="DJ53" s="40">
        <f t="shared" si="90"/>
        <v>114.37348536352253</v>
      </c>
      <c r="DK53" s="40">
        <f t="shared" si="91"/>
        <v>-245.62651463647745</v>
      </c>
      <c r="DL53" s="40">
        <f t="shared" si="92"/>
        <v>1.1578840404384321</v>
      </c>
      <c r="DM53" s="40">
        <f t="shared" si="93"/>
        <v>857.74127863150204</v>
      </c>
      <c r="DN53" s="41">
        <f>COS(RADIANS(DF53))*COS(RADIANS(DH53-Insolation!$L$6))*SIN(RADIANS(0))+(SIN(RADIANS(DF53))*COS(RADIANS(0)))</f>
        <v>0.86364434181280414</v>
      </c>
      <c r="DO53" s="41">
        <f>COS(RADIANS(DF53))*COS(RADIANS(DH53-Insolation!$L$6))*SIN(RADIANS(Insolation!$L$7))+SIN(RADIANS(DF53))*COS(RADIANS(Insolation!$L$7))</f>
        <v>0.80039560951428668</v>
      </c>
      <c r="DP53" s="40">
        <f t="shared" si="94"/>
        <v>740.78340202937659</v>
      </c>
      <c r="DQ53" s="40">
        <f t="shared" si="95"/>
        <v>112.60474897118337</v>
      </c>
      <c r="DR53" s="40">
        <f t="shared" si="96"/>
        <v>686.53235351582464</v>
      </c>
      <c r="DS53" s="40">
        <f>$DD$55*DM53*((1+COS(RADIANS(Insolation!$L$7)))/2)</f>
        <v>102.75567395588536</v>
      </c>
      <c r="DT53" s="40">
        <f t="shared" si="97"/>
        <v>787.70402056744786</v>
      </c>
      <c r="DU53" s="40">
        <f t="shared" si="98"/>
        <v>89.724224771621593</v>
      </c>
      <c r="DV53" s="40">
        <f t="shared" si="99"/>
        <v>857.74127863150204</v>
      </c>
      <c r="DW53" s="40">
        <f t="shared" si="100"/>
        <v>104.92760164069853</v>
      </c>
    </row>
    <row r="54" spans="1:127" x14ac:dyDescent="0.15">
      <c r="A54" s="48"/>
      <c r="C54" s="208" t="s">
        <v>182</v>
      </c>
      <c r="D54" s="48">
        <v>10.5</v>
      </c>
      <c r="E54" s="40">
        <f t="shared" si="12"/>
        <v>25.23620827307451</v>
      </c>
      <c r="F54" s="181">
        <f t="shared" si="13"/>
        <v>22.5</v>
      </c>
      <c r="G54" s="40">
        <f t="shared" si="19"/>
        <v>23.218854902407518</v>
      </c>
      <c r="H54" s="40">
        <f t="shared" si="20"/>
        <v>23.218854902407518</v>
      </c>
      <c r="I54" s="40">
        <f t="shared" si="21"/>
        <v>156.78114509759249</v>
      </c>
      <c r="J54" s="40">
        <f t="shared" si="22"/>
        <v>-203.21885490240751</v>
      </c>
      <c r="K54" s="40">
        <f t="shared" si="23"/>
        <v>2.3454852089992011</v>
      </c>
      <c r="L54" s="40">
        <f t="shared" si="24"/>
        <v>889.47773819813347</v>
      </c>
      <c r="M54" s="41">
        <f>COS(RADIANS(E54))*COS(RADIANS(G54-Insolation!$L$6))*SIN(RADIANS(0))+(SIN(RADIANS(E54))*COS(RADIANS(0)))</f>
        <v>0.42635101520281665</v>
      </c>
      <c r="N54" s="41">
        <f>COS(RADIANS(E54))*COS(RADIANS(G54-Insolation!$L$6))*SIN(RADIANS(Insolation!$L$7))+SIN(RADIANS(E54))*COS(RADIANS(Insolation!$L$7))</f>
        <v>0.79603004764940266</v>
      </c>
      <c r="O54" s="40">
        <f t="shared" si="25"/>
        <v>379.22973668107937</v>
      </c>
      <c r="P54" s="40">
        <f t="shared" si="26"/>
        <v>49.126997324818092</v>
      </c>
      <c r="Q54" s="40">
        <f t="shared" si="27"/>
        <v>708.05100632094309</v>
      </c>
      <c r="R54" s="40">
        <f>$C$55*L54*((1+COS(RADIANS(Insolation!$L$7)))/2)</f>
        <v>44.830060593914304</v>
      </c>
      <c r="S54" s="40">
        <f t="shared" si="28"/>
        <v>828.89063172251701</v>
      </c>
      <c r="T54" s="40">
        <f t="shared" si="29"/>
        <v>42.382907820057845</v>
      </c>
      <c r="U54" s="40">
        <f t="shared" si="30"/>
        <v>889.47773819813347</v>
      </c>
      <c r="V54" s="40">
        <f t="shared" si="31"/>
        <v>35.036171254060172</v>
      </c>
      <c r="X54" s="208" t="s">
        <v>182</v>
      </c>
      <c r="Y54" s="48">
        <v>10.5</v>
      </c>
      <c r="Z54" s="40">
        <f t="shared" si="32"/>
        <v>32.75355583506456</v>
      </c>
      <c r="AA54" s="181">
        <f t="shared" si="14"/>
        <v>22.5</v>
      </c>
      <c r="AB54" s="40">
        <f t="shared" si="33"/>
        <v>26.285623222724798</v>
      </c>
      <c r="AC54" s="40">
        <f t="shared" si="34"/>
        <v>26.285623222724798</v>
      </c>
      <c r="AD54" s="40">
        <f t="shared" si="35"/>
        <v>153.71437677727519</v>
      </c>
      <c r="AE54" s="40">
        <f t="shared" si="36"/>
        <v>-206.28562322272481</v>
      </c>
      <c r="AF54" s="40">
        <f t="shared" si="37"/>
        <v>1.8483377302972597</v>
      </c>
      <c r="AG54" s="40">
        <f t="shared" si="38"/>
        <v>926.82353443612499</v>
      </c>
      <c r="AH54" s="41">
        <f>COS(RADIANS(Z54))*COS(RADIANS(AB54-Insolation!$L$6))*SIN(RADIANS(0))+(SIN(RADIANS(Z54))*COS(RADIANS(0)))</f>
        <v>0.54102666607318273</v>
      </c>
      <c r="AI54" s="41">
        <f>COS(RADIANS(Z54))*COS(RADIANS(AB54-Insolation!$L$6))*SIN(RADIANS(Insolation!$L$7))+SIN(RADIANS(Z54))*COS(RADIANS(Insolation!$L$7))</f>
        <v>0.84627104223332972</v>
      </c>
      <c r="AJ54" s="40">
        <f t="shared" si="39"/>
        <v>501.43624687414035</v>
      </c>
      <c r="AK54" s="40">
        <f t="shared" si="40"/>
        <v>58.339423127366565</v>
      </c>
      <c r="AL54" s="40">
        <f t="shared" si="41"/>
        <v>784.3439184536378</v>
      </c>
      <c r="AM54" s="40">
        <f>$X$55*AG54*((1+COS(RADIANS(Insolation!$L$7)))/2)</f>
        <v>53.236713339543243</v>
      </c>
      <c r="AN54" s="40">
        <f t="shared" si="42"/>
        <v>902.00541957774055</v>
      </c>
      <c r="AO54" s="40">
        <f t="shared" si="43"/>
        <v>50.167745577444563</v>
      </c>
      <c r="AP54" s="40">
        <f t="shared" si="44"/>
        <v>926.82353443612499</v>
      </c>
      <c r="AQ54" s="40">
        <f t="shared" si="45"/>
        <v>44.951303361299217</v>
      </c>
      <c r="AS54" s="208" t="s">
        <v>182</v>
      </c>
      <c r="AT54" s="48">
        <v>10.5</v>
      </c>
      <c r="AU54" s="40">
        <f t="shared" si="46"/>
        <v>42.474720636714864</v>
      </c>
      <c r="AV54" s="181">
        <f t="shared" si="15"/>
        <v>22.5</v>
      </c>
      <c r="AW54" s="40">
        <f t="shared" si="47"/>
        <v>31.212391147994975</v>
      </c>
      <c r="AX54" s="40">
        <f t="shared" si="48"/>
        <v>31.212391147994975</v>
      </c>
      <c r="AY54" s="40">
        <f t="shared" si="49"/>
        <v>148.78760885200504</v>
      </c>
      <c r="AZ54" s="40">
        <f t="shared" si="50"/>
        <v>-211.21239114799496</v>
      </c>
      <c r="BA54" s="40">
        <f t="shared" si="51"/>
        <v>1.4809004219646535</v>
      </c>
      <c r="BB54" s="40">
        <f t="shared" si="52"/>
        <v>935.39774026181908</v>
      </c>
      <c r="BC54" s="41">
        <f>COS(RADIANS(AU54))*COS(RADIANS(AW54-Insolation!$L$6))*SIN(RADIANS(0))+(SIN(RADIANS(AU54))*COS(RADIANS(0)))</f>
        <v>0.67526484912019846</v>
      </c>
      <c r="BD54" s="41">
        <f>COS(RADIANS(AU54))*COS(RADIANS(AW54-Insolation!$L$6))*SIN(RADIANS(Insolation!$L$7))+SIN(RADIANS(AU54))*COS(RADIANS(Insolation!$L$7))</f>
        <v>0.88721559909968517</v>
      </c>
      <c r="BE54" s="40">
        <f t="shared" si="53"/>
        <v>631.64121394527183</v>
      </c>
      <c r="BF54" s="40">
        <f t="shared" si="54"/>
        <v>72.670092872387087</v>
      </c>
      <c r="BG54" s="40">
        <f t="shared" si="55"/>
        <v>829.89946652288154</v>
      </c>
      <c r="BH54" s="40">
        <f>$AS$55*BB54*((1+COS(RADIANS(Insolation!$L$7)))/2)</f>
        <v>66.313938246510901</v>
      </c>
      <c r="BI54" s="40">
        <f t="shared" si="56"/>
        <v>934.2658971963466</v>
      </c>
      <c r="BJ54" s="40">
        <f t="shared" si="57"/>
        <v>62.159123005645633</v>
      </c>
      <c r="BK54" s="40">
        <f t="shared" si="58"/>
        <v>935.39774026181908</v>
      </c>
      <c r="BL54" s="40">
        <f t="shared" si="59"/>
        <v>60.870826085705183</v>
      </c>
      <c r="BN54" s="208" t="s">
        <v>182</v>
      </c>
      <c r="BO54" s="48">
        <v>10.5</v>
      </c>
      <c r="BP54" s="40">
        <f t="shared" si="60"/>
        <v>53.451025549527749</v>
      </c>
      <c r="BQ54" s="181">
        <f t="shared" si="16"/>
        <v>22.5</v>
      </c>
      <c r="BR54" s="40">
        <f t="shared" si="61"/>
        <v>39.342798408703011</v>
      </c>
      <c r="BS54" s="40">
        <f t="shared" si="62"/>
        <v>39.342798408703011</v>
      </c>
      <c r="BT54" s="40">
        <f t="shared" si="63"/>
        <v>140.657201591297</v>
      </c>
      <c r="BU54" s="40">
        <f t="shared" si="64"/>
        <v>-219.342798408703</v>
      </c>
      <c r="BV54" s="40">
        <f t="shared" si="65"/>
        <v>1.2447903453379696</v>
      </c>
      <c r="BW54" s="40">
        <f t="shared" si="66"/>
        <v>917.75922005434666</v>
      </c>
      <c r="BX54" s="41">
        <f>COS(RADIANS(BP54))*COS(RADIANS(BR54-Insolation!$L$6))*SIN(RADIANS(0))+(SIN(RADIANS(BP54))*COS(RADIANS(0)))</f>
        <v>0.80334813307737596</v>
      </c>
      <c r="BY54" s="41">
        <f>COS(RADIANS(BP54))*COS(RADIANS(BR54-Insolation!$L$6))*SIN(RADIANS(Insolation!$L$7))+SIN(RADIANS(BP54))*COS(RADIANS(Insolation!$L$7))</f>
        <v>0.89758558984152681</v>
      </c>
      <c r="BZ54" s="40">
        <f t="shared" si="67"/>
        <v>737.28015604520806</v>
      </c>
      <c r="CA54" s="40">
        <f t="shared" si="68"/>
        <v>90.342925370819245</v>
      </c>
      <c r="CB54" s="40">
        <f t="shared" si="69"/>
        <v>823.76745086498033</v>
      </c>
      <c r="CC54" s="40">
        <f>$BN$55*BW54*((1+COS(RADIANS(Insolation!$L$7)))/2)</f>
        <v>82.441000654425835</v>
      </c>
      <c r="CD54" s="40">
        <f t="shared" si="70"/>
        <v>905.39670386151693</v>
      </c>
      <c r="CE54" s="40">
        <f t="shared" si="71"/>
        <v>76.570682430191482</v>
      </c>
      <c r="CF54" s="40">
        <f t="shared" si="72"/>
        <v>917.75922005434666</v>
      </c>
      <c r="CG54" s="40">
        <f t="shared" si="73"/>
        <v>81.45987290210779</v>
      </c>
      <c r="CI54" s="208" t="s">
        <v>182</v>
      </c>
      <c r="CJ54" s="48">
        <v>10.5</v>
      </c>
      <c r="CK54" s="40">
        <f t="shared" si="74"/>
        <v>61.290847121046916</v>
      </c>
      <c r="CL54" s="181">
        <f t="shared" si="17"/>
        <v>22.5</v>
      </c>
      <c r="CM54" s="40">
        <f t="shared" si="75"/>
        <v>48.95445289590478</v>
      </c>
      <c r="CN54" s="40">
        <f t="shared" si="76"/>
        <v>48.95445289590478</v>
      </c>
      <c r="CO54" s="40">
        <f t="shared" si="77"/>
        <v>131.04554710409522</v>
      </c>
      <c r="CP54" s="40">
        <f t="shared" si="78"/>
        <v>-228.95445289590478</v>
      </c>
      <c r="CQ54" s="40">
        <f t="shared" si="79"/>
        <v>1.1401605812110345</v>
      </c>
      <c r="CR54" s="40">
        <f t="shared" si="80"/>
        <v>889.81925545693537</v>
      </c>
      <c r="CS54" s="41">
        <f>COS(RADIANS(CK54))*COS(RADIANS(CM54-Insolation!$L$6))*SIN(RADIANS(0))+(SIN(RADIANS(CK54))*COS(RADIANS(0)))</f>
        <v>0.87706943783115066</v>
      </c>
      <c r="CT54" s="41">
        <f>COS(RADIANS(CK54))*COS(RADIANS(CM54-Insolation!$L$6))*SIN(RADIANS(Insolation!$L$7))+SIN(RADIANS(CK54))*COS(RADIANS(Insolation!$L$7))</f>
        <v>0.877892584355212</v>
      </c>
      <c r="CU54" s="40">
        <f t="shared" si="81"/>
        <v>780.4332741549473</v>
      </c>
      <c r="CV54" s="40">
        <f t="shared" si="82"/>
        <v>104.70331466237286</v>
      </c>
      <c r="CW54" s="40">
        <f t="shared" si="83"/>
        <v>781.16572578211958</v>
      </c>
      <c r="CX54" s="40">
        <f>$CI$55*CR54*((1+COS(RADIANS(Insolation!$L$7)))/2)</f>
        <v>95.545345661225625</v>
      </c>
      <c r="CY54" s="40">
        <f t="shared" si="84"/>
        <v>842.38718324823071</v>
      </c>
      <c r="CZ54" s="40">
        <f t="shared" si="101"/>
        <v>87.719203290451532</v>
      </c>
      <c r="DA54" s="40">
        <f t="shared" si="85"/>
        <v>889.81925545693537</v>
      </c>
      <c r="DB54" s="40">
        <f t="shared" si="86"/>
        <v>98.267695996179143</v>
      </c>
      <c r="DD54" s="208" t="s">
        <v>182</v>
      </c>
      <c r="DE54" s="48">
        <v>10.5</v>
      </c>
      <c r="DF54" s="40">
        <f t="shared" si="87"/>
        <v>64.735129574250749</v>
      </c>
      <c r="DG54" s="181">
        <f t="shared" si="18"/>
        <v>22.5</v>
      </c>
      <c r="DH54" s="40">
        <f t="shared" si="88"/>
        <v>55.428066685818422</v>
      </c>
      <c r="DI54" s="40">
        <f t="shared" si="89"/>
        <v>55.428066685818422</v>
      </c>
      <c r="DJ54" s="40">
        <f t="shared" si="90"/>
        <v>124.57193331418158</v>
      </c>
      <c r="DK54" s="40">
        <f t="shared" si="91"/>
        <v>-235.42806668581841</v>
      </c>
      <c r="DL54" s="40">
        <f t="shared" si="92"/>
        <v>1.1057734147616138</v>
      </c>
      <c r="DM54" s="40">
        <f t="shared" si="93"/>
        <v>866.987049762119</v>
      </c>
      <c r="DN54" s="41">
        <f>COS(RADIANS(DF54))*COS(RADIANS(DH54-Insolation!$L$6))*SIN(RADIANS(0))+(SIN(RADIANS(DF54))*COS(RADIANS(0)))</f>
        <v>0.90434440424269313</v>
      </c>
      <c r="DO54" s="41">
        <f>COS(RADIANS(DF54))*COS(RADIANS(DH54-Insolation!$L$6))*SIN(RADIANS(Insolation!$L$7))+SIN(RADIANS(DF54))*COS(RADIANS(Insolation!$L$7))</f>
        <v>0.8599516299835287</v>
      </c>
      <c r="DP54" s="40">
        <f t="shared" si="94"/>
        <v>784.05488700325361</v>
      </c>
      <c r="DQ54" s="40">
        <f t="shared" si="95"/>
        <v>113.81853891361123</v>
      </c>
      <c r="DR54" s="40">
        <f t="shared" si="96"/>
        <v>745.56692661754494</v>
      </c>
      <c r="DS54" s="40">
        <f>$DD$55*DM54*((1+COS(RADIANS(Insolation!$L$7)))/2)</f>
        <v>103.86329867610891</v>
      </c>
      <c r="DT54" s="40">
        <f t="shared" si="97"/>
        <v>796.19484556826058</v>
      </c>
      <c r="DU54" s="40">
        <f t="shared" si="98"/>
        <v>94.559479334195018</v>
      </c>
      <c r="DV54" s="40">
        <f t="shared" si="99"/>
        <v>866.987049762119</v>
      </c>
      <c r="DW54" s="40">
        <f t="shared" si="100"/>
        <v>108.37484883960738</v>
      </c>
    </row>
    <row r="55" spans="1:127" x14ac:dyDescent="0.15">
      <c r="A55" s="48"/>
      <c r="C55" s="41">
        <f>0.095+0.04*SIN(RADIANS(360/365*(C45-100)))</f>
        <v>5.5231283724241929E-2</v>
      </c>
      <c r="D55" s="48">
        <v>11</v>
      </c>
      <c r="E55" s="40">
        <f t="shared" si="12"/>
        <v>27.152884967848934</v>
      </c>
      <c r="F55" s="181">
        <f t="shared" si="13"/>
        <v>15</v>
      </c>
      <c r="G55" s="40">
        <f t="shared" si="19"/>
        <v>15.727518915571107</v>
      </c>
      <c r="H55" s="40">
        <f>DEGREES(ASIN(COS(RADIANS($C$47))*SIN(RADIANS(F55))/COS(RADIANS(E55))))</f>
        <v>15.727518915571107</v>
      </c>
      <c r="I55" s="40">
        <f t="shared" si="21"/>
        <v>164.2724810844289</v>
      </c>
      <c r="J55" s="40">
        <f>180-H55-360</f>
        <v>-195.7275189155711</v>
      </c>
      <c r="K55" s="40">
        <f t="shared" si="23"/>
        <v>2.1912218168571918</v>
      </c>
      <c r="L55" s="40">
        <f t="shared" si="24"/>
        <v>908.78478844942481</v>
      </c>
      <c r="M55" s="41">
        <f>COS(RADIANS(E55))*COS(RADIANS(G55-Insolation!$L$6))*SIN(RADIANS(0))+(SIN(RADIANS(E55))*COS(RADIANS(0)))</f>
        <v>0.45636639445032179</v>
      </c>
      <c r="N55" s="41">
        <f>COS(RADIANS(E55))*COS(RADIANS(G55-Insolation!$L$6))*SIN(RADIANS(Insolation!$L$7))+SIN(RADIANS(E55))*COS(RADIANS(Insolation!$L$7))</f>
        <v>0.84222171628396159</v>
      </c>
      <c r="O55" s="40">
        <f t="shared" si="25"/>
        <v>414.73883723596242</v>
      </c>
      <c r="P55" s="40">
        <f t="shared" si="26"/>
        <v>50.193350495125358</v>
      </c>
      <c r="Q55" s="40">
        <f t="shared" si="27"/>
        <v>765.3982842606315</v>
      </c>
      <c r="R55" s="40">
        <f>$C$55*L55*((1+COS(RADIANS(Insolation!$L$7)))/2)</f>
        <v>45.803144231070313</v>
      </c>
      <c r="S55" s="40">
        <f t="shared" si="28"/>
        <v>846.8825750756024</v>
      </c>
      <c r="T55" s="40">
        <f t="shared" si="29"/>
        <v>43.870421892191693</v>
      </c>
      <c r="U55" s="40">
        <f t="shared" si="30"/>
        <v>908.78478844942481</v>
      </c>
      <c r="V55" s="40">
        <f t="shared" si="31"/>
        <v>36.549954442983498</v>
      </c>
      <c r="X55" s="41">
        <f>0.095+0.04*SIN(RADIANS(360/365*(X45-100)))</f>
        <v>6.2945556473012948E-2</v>
      </c>
      <c r="Y55" s="48">
        <v>11</v>
      </c>
      <c r="Z55" s="40">
        <f t="shared" si="32"/>
        <v>34.915904015534416</v>
      </c>
      <c r="AA55" s="181">
        <f t="shared" si="14"/>
        <v>15</v>
      </c>
      <c r="AB55" s="40">
        <f t="shared" si="33"/>
        <v>17.889588732377419</v>
      </c>
      <c r="AC55" s="40">
        <f t="shared" si="34"/>
        <v>17.889588732377419</v>
      </c>
      <c r="AD55" s="40">
        <f t="shared" si="35"/>
        <v>162.11041126762257</v>
      </c>
      <c r="AE55" s="40">
        <f>180-AC55-360</f>
        <v>-197.88958873237743</v>
      </c>
      <c r="AF55" s="40">
        <f t="shared" si="37"/>
        <v>1.747110912147001</v>
      </c>
      <c r="AG55" s="40">
        <f t="shared" si="38"/>
        <v>940.61835047866577</v>
      </c>
      <c r="AH55" s="41">
        <f>COS(RADIANS(Z55))*COS(RADIANS(AB55-Insolation!$L$6))*SIN(RADIANS(0))+(SIN(RADIANS(Z55))*COS(RADIANS(0)))</f>
        <v>0.57237350705520662</v>
      </c>
      <c r="AI55" s="41">
        <f>COS(RADIANS(Z55))*COS(RADIANS(AB55-Insolation!$L$6))*SIN(RADIANS(Insolation!$L$7))+SIN(RADIANS(Z55))*COS(RADIANS(Insolation!$L$7))</f>
        <v>0.89451174175746517</v>
      </c>
      <c r="AJ55" s="40">
        <f t="shared" si="39"/>
        <v>538.38502406395742</v>
      </c>
      <c r="AK55" s="40">
        <f t="shared" si="40"/>
        <v>59.207745499607142</v>
      </c>
      <c r="AL55" s="40">
        <f t="shared" si="41"/>
        <v>841.3941590157051</v>
      </c>
      <c r="AM55" s="40">
        <f>$X$55*AG55*((1+COS(RADIANS(Insolation!$L$7)))/2)</f>
        <v>54.029087119386112</v>
      </c>
      <c r="AN55" s="40">
        <f t="shared" si="42"/>
        <v>915.43084348005868</v>
      </c>
      <c r="AO55" s="40">
        <f t="shared" si="43"/>
        <v>51.674591965506082</v>
      </c>
      <c r="AP55" s="40">
        <f t="shared" si="44"/>
        <v>940.61835047866577</v>
      </c>
      <c r="AQ55" s="40">
        <f t="shared" si="45"/>
        <v>46.5483452180247</v>
      </c>
      <c r="AS55" s="41">
        <f>0.095+0.04*SIN(RADIANS(360/365*(AS45-100)))</f>
        <v>7.7688976297982756E-2</v>
      </c>
      <c r="AT55" s="48">
        <v>11</v>
      </c>
      <c r="AU55" s="40">
        <f t="shared" si="46"/>
        <v>45.026617872795498</v>
      </c>
      <c r="AV55" s="181">
        <f t="shared" si="15"/>
        <v>15</v>
      </c>
      <c r="AW55" s="40">
        <f t="shared" si="47"/>
        <v>21.453898039277206</v>
      </c>
      <c r="AX55" s="40">
        <f t="shared" si="48"/>
        <v>21.453898039277206</v>
      </c>
      <c r="AY55" s="40">
        <f t="shared" si="49"/>
        <v>158.54610196072281</v>
      </c>
      <c r="AZ55" s="40">
        <f>180-AX55-360</f>
        <v>-201.45389803927719</v>
      </c>
      <c r="BA55" s="40">
        <f t="shared" si="51"/>
        <v>1.4135570194308387</v>
      </c>
      <c r="BB55" s="40">
        <f t="shared" si="52"/>
        <v>945.45805202632357</v>
      </c>
      <c r="BC55" s="41">
        <f>COS(RADIANS(AU55))*COS(RADIANS(AW55-Insolation!$L$6))*SIN(RADIANS(0))+(SIN(RADIANS(AU55))*COS(RADIANS(0)))</f>
        <v>0.70743520512716551</v>
      </c>
      <c r="BD55" s="41">
        <f>COS(RADIANS(AU55))*COS(RADIANS(AW55-Insolation!$L$6))*SIN(RADIANS(Insolation!$L$7))+SIN(RADIANS(AU55))*COS(RADIANS(Insolation!$L$7))</f>
        <v>0.93672363337358622</v>
      </c>
      <c r="BE55" s="40">
        <f t="shared" si="53"/>
        <v>668.85031097437252</v>
      </c>
      <c r="BF55" s="40">
        <f t="shared" si="54"/>
        <v>73.451668194609994</v>
      </c>
      <c r="BG55" s="40">
        <f t="shared" si="55"/>
        <v>885.63290169641095</v>
      </c>
      <c r="BH55" s="40">
        <f>$AS$55*BB55*((1+COS(RADIANS(Insolation!$L$7)))/2)</f>
        <v>67.027152384600726</v>
      </c>
      <c r="BI55" s="40">
        <f t="shared" si="56"/>
        <v>944.3140358567083</v>
      </c>
      <c r="BJ55" s="40">
        <f t="shared" si="57"/>
        <v>63.952081384799641</v>
      </c>
      <c r="BK55" s="40">
        <f t="shared" si="58"/>
        <v>945.45805202632357</v>
      </c>
      <c r="BL55" s="40">
        <f t="shared" si="59"/>
        <v>62.706982075398209</v>
      </c>
      <c r="BN55" s="41">
        <f>0.095+0.04*SIN(RADIANS(360/365*(BN45-100)))</f>
        <v>9.8438591949497861E-2</v>
      </c>
      <c r="BO55" s="48">
        <v>11</v>
      </c>
      <c r="BP55" s="40">
        <f t="shared" si="60"/>
        <v>56.628709692492428</v>
      </c>
      <c r="BQ55" s="181">
        <f t="shared" si="16"/>
        <v>15</v>
      </c>
      <c r="BR55" s="40">
        <f t="shared" si="61"/>
        <v>27.657721978976703</v>
      </c>
      <c r="BS55" s="40">
        <f t="shared" si="62"/>
        <v>27.657721978976703</v>
      </c>
      <c r="BT55" s="40">
        <f t="shared" si="63"/>
        <v>152.3422780210233</v>
      </c>
      <c r="BU55" s="40">
        <f>180-BS55-360</f>
        <v>-207.6577219789767</v>
      </c>
      <c r="BV55" s="40">
        <f t="shared" si="65"/>
        <v>1.1974275530760512</v>
      </c>
      <c r="BW55" s="40">
        <f t="shared" si="66"/>
        <v>925.48571611563091</v>
      </c>
      <c r="BX55" s="41">
        <f>COS(RADIANS(BP55))*COS(RADIANS(BR55-Insolation!$L$6))*SIN(RADIANS(0))+(SIN(RADIANS(BP55))*COS(RADIANS(0)))</f>
        <v>0.83512359259741198</v>
      </c>
      <c r="BY55" s="41">
        <f>COS(RADIANS(BP55))*COS(RADIANS(BR55-Insolation!$L$6))*SIN(RADIANS(Insolation!$L$7))+SIN(RADIANS(BP55))*COS(RADIANS(Insolation!$L$7))</f>
        <v>0.94648590473534411</v>
      </c>
      <c r="BZ55" s="40">
        <f t="shared" si="67"/>
        <v>772.89495614007421</v>
      </c>
      <c r="CA55" s="40">
        <f t="shared" si="68"/>
        <v>91.103510763795413</v>
      </c>
      <c r="CB55" s="40">
        <f t="shared" si="69"/>
        <v>875.95918533734073</v>
      </c>
      <c r="CC55" s="40">
        <f>$BN$55*BW55*((1+COS(RADIANS(Insolation!$L$7)))/2)</f>
        <v>83.135060766191359</v>
      </c>
      <c r="CD55" s="40">
        <f t="shared" si="70"/>
        <v>913.01912149941495</v>
      </c>
      <c r="CE55" s="40">
        <f t="shared" si="71"/>
        <v>78.98190095792863</v>
      </c>
      <c r="CF55" s="40">
        <f t="shared" si="72"/>
        <v>925.48571611563091</v>
      </c>
      <c r="CG55" s="40">
        <f t="shared" si="73"/>
        <v>83.593100985546613</v>
      </c>
      <c r="CI55" s="41">
        <f>0.095+0.04*SIN(RADIANS(360/365*(CI45-100)))</f>
        <v>0.1176680702516447</v>
      </c>
      <c r="CJ55" s="48">
        <v>11</v>
      </c>
      <c r="CK55" s="40">
        <f t="shared" si="74"/>
        <v>65.170560838774222</v>
      </c>
      <c r="CL55" s="181">
        <f t="shared" si="17"/>
        <v>15</v>
      </c>
      <c r="CM55" s="40">
        <f t="shared" si="75"/>
        <v>35.697126732120012</v>
      </c>
      <c r="CN55" s="40">
        <f t="shared" si="76"/>
        <v>35.697126732120012</v>
      </c>
      <c r="CO55" s="40">
        <f t="shared" si="77"/>
        <v>144.30287326787999</v>
      </c>
      <c r="CP55" s="40">
        <f>180-CN55-360</f>
        <v>-215.69712673212001</v>
      </c>
      <c r="CQ55" s="40">
        <f t="shared" si="79"/>
        <v>1.1018532908899796</v>
      </c>
      <c r="CR55" s="40">
        <f t="shared" si="80"/>
        <v>896.45100055053797</v>
      </c>
      <c r="CS55" s="41">
        <f>COS(RADIANS(CK55))*COS(RADIANS(CM55-Insolation!$L$6))*SIN(RADIANS(0))+(SIN(RADIANS(CK55))*COS(RADIANS(0)))</f>
        <v>0.90756183991816963</v>
      </c>
      <c r="CT55" s="41">
        <f>COS(RADIANS(CK55))*COS(RADIANS(CM55-Insolation!$L$6))*SIN(RADIANS(Insolation!$L$7))+SIN(RADIANS(CK55))*COS(RADIANS(Insolation!$L$7))</f>
        <v>0.92481835935411982</v>
      </c>
      <c r="CU55" s="40">
        <f t="shared" si="81"/>
        <v>813.5847194561303</v>
      </c>
      <c r="CV55" s="40">
        <f t="shared" si="82"/>
        <v>105.48365930993789</v>
      </c>
      <c r="CW55" s="40">
        <f t="shared" si="83"/>
        <v>829.05434357050774</v>
      </c>
      <c r="CX55" s="40">
        <f>$CI$55*CR55*((1+COS(RADIANS(Insolation!$L$7)))/2)</f>
        <v>96.257436766716509</v>
      </c>
      <c r="CY55" s="40">
        <f t="shared" si="84"/>
        <v>848.66542125573653</v>
      </c>
      <c r="CZ55" s="40">
        <f t="shared" si="101"/>
        <v>90.922418576651097</v>
      </c>
      <c r="DA55" s="40">
        <f t="shared" si="85"/>
        <v>896.45100055053797</v>
      </c>
      <c r="DB55" s="40">
        <f t="shared" si="86"/>
        <v>100.60830161728325</v>
      </c>
      <c r="DD55" s="41">
        <f>0.095+0.04*SIN(RADIANS(360/365*(DD45-100)))</f>
        <v>0.13128055251210544</v>
      </c>
      <c r="DE55" s="48">
        <v>11</v>
      </c>
      <c r="DF55" s="40">
        <f t="shared" si="87"/>
        <v>69.054957780339265</v>
      </c>
      <c r="DG55" s="181">
        <f t="shared" si="18"/>
        <v>15</v>
      </c>
      <c r="DH55" s="40">
        <f t="shared" si="88"/>
        <v>41.675153765491544</v>
      </c>
      <c r="DI55" s="40">
        <f t="shared" si="89"/>
        <v>41.675153765491544</v>
      </c>
      <c r="DJ55" s="40">
        <f t="shared" si="90"/>
        <v>138.32484623450847</v>
      </c>
      <c r="DK55" s="40">
        <f>180-DI55-360</f>
        <v>-221.67515376549153</v>
      </c>
      <c r="DL55" s="40">
        <f t="shared" si="92"/>
        <v>1.0707512354929565</v>
      </c>
      <c r="DM55" s="40">
        <f t="shared" si="93"/>
        <v>873.25682128789595</v>
      </c>
      <c r="DN55" s="41">
        <f>COS(RADIANS(DF55))*COS(RADIANS(DH55-Insolation!$L$6))*SIN(RADIANS(0))+(SIN(RADIANS(DF55))*COS(RADIANS(0)))</f>
        <v>0.93392374143711931</v>
      </c>
      <c r="DO55" s="41">
        <f>COS(RADIANS(DF55))*COS(RADIANS(DH55-Insolation!$L$6))*SIN(RADIANS(Insolation!$L$7))+SIN(RADIANS(DF55))*COS(RADIANS(Insolation!$L$7))</f>
        <v>0.9054722589533718</v>
      </c>
      <c r="DP55" s="40">
        <f t="shared" si="94"/>
        <v>815.55527777267764</v>
      </c>
      <c r="DQ55" s="40">
        <f t="shared" si="95"/>
        <v>114.6416379836399</v>
      </c>
      <c r="DR55" s="40">
        <f t="shared" si="96"/>
        <v>790.70982661799201</v>
      </c>
      <c r="DS55" s="40">
        <f>$DD$55*DM55*((1+COS(RADIANS(Insolation!$L$7)))/2)</f>
        <v>104.61440465028858</v>
      </c>
      <c r="DT55" s="40">
        <f t="shared" si="97"/>
        <v>801.95267063967765</v>
      </c>
      <c r="DU55" s="40">
        <f t="shared" si="98"/>
        <v>98.373233982690081</v>
      </c>
      <c r="DV55" s="40">
        <f t="shared" si="99"/>
        <v>873.25682128789595</v>
      </c>
      <c r="DW55" s="40">
        <f t="shared" si="100"/>
        <v>110.85409272690032</v>
      </c>
    </row>
    <row r="56" spans="1:127" x14ac:dyDescent="0.15">
      <c r="C56" s="208"/>
      <c r="D56" s="48">
        <v>11.5</v>
      </c>
      <c r="E56" s="40">
        <f t="shared" si="12"/>
        <v>28.332237921136837</v>
      </c>
      <c r="F56" s="181">
        <f t="shared" si="13"/>
        <v>7.5</v>
      </c>
      <c r="G56" s="40">
        <f t="shared" si="19"/>
        <v>7.9430616078555261</v>
      </c>
      <c r="H56" s="40">
        <f t="shared" si="20"/>
        <v>7.9430616078555261</v>
      </c>
      <c r="I56" s="40">
        <f t="shared" si="21"/>
        <v>172.05693839214447</v>
      </c>
      <c r="J56" s="40">
        <f t="shared" si="22"/>
        <v>-187.94306160785553</v>
      </c>
      <c r="K56" s="40">
        <f t="shared" si="23"/>
        <v>2.1071105771317757</v>
      </c>
      <c r="L56" s="40">
        <f t="shared" si="24"/>
        <v>919.48781662123736</v>
      </c>
      <c r="M56" s="41">
        <f>COS(RADIANS(E56))*COS(RADIANS(G56-Insolation!$L$6))*SIN(RADIANS(0))+(SIN(RADIANS(E56))*COS(RADIANS(0)))</f>
        <v>0.47458354148704052</v>
      </c>
      <c r="N56" s="41">
        <f>COS(RADIANS(E56))*COS(RADIANS(G56-Insolation!$L$6))*SIN(RADIANS(Insolation!$L$7))+SIN(RADIANS(E56))*COS(RADIANS(Insolation!$L$7))</f>
        <v>0.87338073926680471</v>
      </c>
      <c r="O56" s="40">
        <f t="shared" si="25"/>
        <v>436.37378436629331</v>
      </c>
      <c r="P56" s="40">
        <f t="shared" si="26"/>
        <v>50.784492480791293</v>
      </c>
      <c r="Q56" s="40">
        <f t="shared" si="27"/>
        <v>803.06294902747641</v>
      </c>
      <c r="R56" s="40">
        <f>$C$55*L56*((1+COS(RADIANS(Insolation!$L$7)))/2)</f>
        <v>46.34258145459512</v>
      </c>
      <c r="S56" s="40">
        <f t="shared" si="28"/>
        <v>856.85656250855311</v>
      </c>
      <c r="T56" s="40">
        <f t="shared" si="29"/>
        <v>44.729906152135413</v>
      </c>
      <c r="U56" s="40">
        <f t="shared" si="30"/>
        <v>919.48781662123736</v>
      </c>
      <c r="V56" s="40">
        <f t="shared" si="31"/>
        <v>37.442988387473605</v>
      </c>
      <c r="X56" s="208"/>
      <c r="Y56" s="48">
        <v>11.5</v>
      </c>
      <c r="Z56" s="40">
        <f t="shared" si="32"/>
        <v>36.256331000109633</v>
      </c>
      <c r="AA56" s="181">
        <f t="shared" si="14"/>
        <v>7.5</v>
      </c>
      <c r="AB56" s="40">
        <f t="shared" si="33"/>
        <v>9.0637078113251714</v>
      </c>
      <c r="AC56" s="40">
        <f t="shared" si="34"/>
        <v>9.0637078113251714</v>
      </c>
      <c r="AD56" s="40">
        <f t="shared" si="35"/>
        <v>170.93629218867483</v>
      </c>
      <c r="AE56" s="40">
        <f t="shared" ref="AE56:AE74" si="102">180-AC56-360</f>
        <v>-189.06370781132517</v>
      </c>
      <c r="AF56" s="40">
        <f t="shared" si="37"/>
        <v>1.6909065038274866</v>
      </c>
      <c r="AG56" s="40">
        <f t="shared" si="38"/>
        <v>948.3661338160183</v>
      </c>
      <c r="AH56" s="41">
        <f>COS(RADIANS(Z56))*COS(RADIANS(AB56-Insolation!$L$6))*SIN(RADIANS(0))+(SIN(RADIANS(Z56))*COS(RADIANS(0)))</f>
        <v>0.5913987542992053</v>
      </c>
      <c r="AI56" s="41">
        <f>COS(RADIANS(Z56))*COS(RADIANS(AB56-Insolation!$L$6))*SIN(RADIANS(Insolation!$L$7))+SIN(RADIANS(Z56))*COS(RADIANS(Insolation!$L$7))</f>
        <v>0.92705295773026031</v>
      </c>
      <c r="AJ56" s="40">
        <f t="shared" si="39"/>
        <v>560.86255015834661</v>
      </c>
      <c r="AK56" s="40">
        <f t="shared" si="40"/>
        <v>59.695434033209132</v>
      </c>
      <c r="AL56" s="40">
        <f t="shared" si="41"/>
        <v>879.18562936535159</v>
      </c>
      <c r="AM56" s="40">
        <f>$X$55*AG56*((1+COS(RADIANS(Insolation!$L$7)))/2)</f>
        <v>54.474119539498822</v>
      </c>
      <c r="AN56" s="40">
        <f t="shared" si="42"/>
        <v>922.97115973266432</v>
      </c>
      <c r="AO56" s="40">
        <f t="shared" si="43"/>
        <v>52.559481351231696</v>
      </c>
      <c r="AP56" s="40">
        <f t="shared" si="44"/>
        <v>948.3661338160183</v>
      </c>
      <c r="AQ56" s="40">
        <f t="shared" si="45"/>
        <v>47.499619678899705</v>
      </c>
      <c r="AS56" s="208"/>
      <c r="AT56" s="48">
        <v>11.5</v>
      </c>
      <c r="AU56" s="40">
        <f t="shared" si="46"/>
        <v>46.632164062839109</v>
      </c>
      <c r="AV56" s="181">
        <f t="shared" si="15"/>
        <v>7.5</v>
      </c>
      <c r="AW56" s="40">
        <f t="shared" si="47"/>
        <v>10.944212864710162</v>
      </c>
      <c r="AX56" s="40">
        <f t="shared" si="48"/>
        <v>10.944212864710162</v>
      </c>
      <c r="AY56" s="40">
        <f t="shared" si="49"/>
        <v>169.05578713528985</v>
      </c>
      <c r="AZ56" s="40">
        <f t="shared" ref="AZ56:AZ74" si="103">180-AX56-360</f>
        <v>-190.94421286471015</v>
      </c>
      <c r="BA56" s="40">
        <f t="shared" si="51"/>
        <v>1.3755910010916348</v>
      </c>
      <c r="BB56" s="40">
        <f t="shared" si="52"/>
        <v>951.17734858289964</v>
      </c>
      <c r="BC56" s="41">
        <f>COS(RADIANS(AU56))*COS(RADIANS(AW56-Insolation!$L$6))*SIN(RADIANS(0))+(SIN(RADIANS(AU56))*COS(RADIANS(0)))</f>
        <v>0.72696026595581453</v>
      </c>
      <c r="BD56" s="41">
        <f>COS(RADIANS(AU56))*COS(RADIANS(AW56-Insolation!$L$6))*SIN(RADIANS(Insolation!$L$7))+SIN(RADIANS(AU56))*COS(RADIANS(Insolation!$L$7))</f>
        <v>0.9701197418792169</v>
      </c>
      <c r="BE56" s="40">
        <f t="shared" si="53"/>
        <v>691.46813829697123</v>
      </c>
      <c r="BF56" s="40">
        <f t="shared" si="54"/>
        <v>73.895994489234965</v>
      </c>
      <c r="BG56" s="40">
        <f t="shared" si="55"/>
        <v>922.75592388860048</v>
      </c>
      <c r="BH56" s="40">
        <f>$AS$55*BB56*((1+COS(RADIANS(Insolation!$L$7)))/2)</f>
        <v>67.432615282725862</v>
      </c>
      <c r="BI56" s="40">
        <f t="shared" si="56"/>
        <v>950.02641199230379</v>
      </c>
      <c r="BJ56" s="40">
        <f t="shared" si="57"/>
        <v>65.022960917933204</v>
      </c>
      <c r="BK56" s="40">
        <f t="shared" si="58"/>
        <v>951.17734858289964</v>
      </c>
      <c r="BL56" s="40">
        <f t="shared" si="59"/>
        <v>63.807723148099321</v>
      </c>
      <c r="BN56" s="208"/>
      <c r="BO56" s="48">
        <v>11.5</v>
      </c>
      <c r="BP56" s="40">
        <f t="shared" si="60"/>
        <v>58.694502658095388</v>
      </c>
      <c r="BQ56" s="181">
        <f t="shared" si="16"/>
        <v>7.5</v>
      </c>
      <c r="BR56" s="40">
        <f t="shared" si="61"/>
        <v>14.348596141940414</v>
      </c>
      <c r="BS56" s="40">
        <f t="shared" si="62"/>
        <v>14.348596141940414</v>
      </c>
      <c r="BT56" s="40">
        <f t="shared" si="63"/>
        <v>165.65140385805958</v>
      </c>
      <c r="BU56" s="40">
        <f t="shared" ref="BU56:BU74" si="104">180-BS56-360</f>
        <v>-194.34859614194042</v>
      </c>
      <c r="BV56" s="40">
        <f t="shared" si="65"/>
        <v>1.1703996837029251</v>
      </c>
      <c r="BW56" s="40">
        <f t="shared" si="66"/>
        <v>929.92400528210146</v>
      </c>
      <c r="BX56" s="41">
        <f>COS(RADIANS(BP56))*COS(RADIANS(BR56-Insolation!$L$6))*SIN(RADIANS(0))+(SIN(RADIANS(BP56))*COS(RADIANS(0)))</f>
        <v>0.85440898004704469</v>
      </c>
      <c r="BY56" s="41">
        <f>COS(RADIANS(BP56))*COS(RADIANS(BR56-Insolation!$L$6))*SIN(RADIANS(Insolation!$L$7))+SIN(RADIANS(BP56))*COS(RADIANS(Insolation!$L$7))</f>
        <v>0.97947207043763163</v>
      </c>
      <c r="BZ56" s="40">
        <f t="shared" si="67"/>
        <v>794.53542087434289</v>
      </c>
      <c r="CA56" s="40">
        <f t="shared" si="68"/>
        <v>91.540409700007473</v>
      </c>
      <c r="CB56" s="40">
        <f t="shared" si="69"/>
        <v>910.834590803315</v>
      </c>
      <c r="CC56" s="40">
        <f>$BN$55*BW56*((1+COS(RADIANS(Insolation!$L$7)))/2)</f>
        <v>83.533745946445777</v>
      </c>
      <c r="CD56" s="40">
        <f t="shared" si="70"/>
        <v>917.3976254624356</v>
      </c>
      <c r="CE56" s="40">
        <f t="shared" si="71"/>
        <v>80.459544549808214</v>
      </c>
      <c r="CF56" s="40">
        <f t="shared" si="72"/>
        <v>929.92400528210146</v>
      </c>
      <c r="CG56" s="40">
        <f t="shared" si="73"/>
        <v>84.876678892439728</v>
      </c>
      <c r="CI56" s="208"/>
      <c r="CJ56" s="48">
        <v>11.5</v>
      </c>
      <c r="CK56" s="40">
        <f t="shared" si="74"/>
        <v>67.830031913399694</v>
      </c>
      <c r="CL56" s="181">
        <f t="shared" si="17"/>
        <v>7.5</v>
      </c>
      <c r="CM56" s="40">
        <f t="shared" si="75"/>
        <v>19.114623138879161</v>
      </c>
      <c r="CN56" s="40">
        <f t="shared" si="76"/>
        <v>19.114623138879161</v>
      </c>
      <c r="CO56" s="40">
        <f t="shared" si="77"/>
        <v>160.88537686112085</v>
      </c>
      <c r="CP56" s="40">
        <f t="shared" ref="CP56:CP74" si="105">180-CN56-360</f>
        <v>-199.11462313887915</v>
      </c>
      <c r="CQ56" s="40">
        <f t="shared" si="79"/>
        <v>1.0798337213225893</v>
      </c>
      <c r="CR56" s="40">
        <f t="shared" si="80"/>
        <v>900.28536813949859</v>
      </c>
      <c r="CS56" s="41">
        <f>COS(RADIANS(CK56))*COS(RADIANS(CM56-Insolation!$L$6))*SIN(RADIANS(0))+(SIN(RADIANS(CK56))*COS(RADIANS(0)))</f>
        <v>0.92606850504278726</v>
      </c>
      <c r="CT56" s="41">
        <f>COS(RADIANS(CK56))*COS(RADIANS(CM56-Insolation!$L$6))*SIN(RADIANS(Insolation!$L$7))+SIN(RADIANS(CK56))*COS(RADIANS(Insolation!$L$7))</f>
        <v>0.95647258066503338</v>
      </c>
      <c r="CU56" s="40">
        <f t="shared" si="81"/>
        <v>833.72592498484084</v>
      </c>
      <c r="CV56" s="40">
        <f t="shared" si="82"/>
        <v>105.93484194476633</v>
      </c>
      <c r="CW56" s="40">
        <f t="shared" si="83"/>
        <v>861.09826939935579</v>
      </c>
      <c r="CX56" s="40">
        <f>$CI$55*CR56*((1+COS(RADIANS(Insolation!$L$7)))/2)</f>
        <v>96.669156309121007</v>
      </c>
      <c r="CY56" s="40">
        <f t="shared" si="84"/>
        <v>852.29539677379171</v>
      </c>
      <c r="CZ56" s="40">
        <f t="shared" si="101"/>
        <v>92.965548464212048</v>
      </c>
      <c r="DA56" s="40">
        <f t="shared" si="85"/>
        <v>900.28536813949859</v>
      </c>
      <c r="DB56" s="40">
        <f t="shared" si="86"/>
        <v>102.01888132825002</v>
      </c>
      <c r="DD56" s="208"/>
      <c r="DE56" s="48">
        <v>11.5</v>
      </c>
      <c r="DF56" s="40">
        <f t="shared" si="87"/>
        <v>72.152613693909501</v>
      </c>
      <c r="DG56" s="181">
        <f t="shared" si="18"/>
        <v>7.5</v>
      </c>
      <c r="DH56" s="40">
        <f t="shared" si="88"/>
        <v>23.023561890167255</v>
      </c>
      <c r="DI56" s="40">
        <f t="shared" si="89"/>
        <v>23.023561890167255</v>
      </c>
      <c r="DJ56" s="40">
        <f t="shared" si="90"/>
        <v>156.97643810983274</v>
      </c>
      <c r="DK56" s="40">
        <f t="shared" ref="DK56:DK74" si="106">180-DI56-360</f>
        <v>-203.02356189016726</v>
      </c>
      <c r="DL56" s="40">
        <f t="shared" si="92"/>
        <v>1.0505567374241274</v>
      </c>
      <c r="DM56" s="40">
        <f t="shared" si="93"/>
        <v>876.89268757861294</v>
      </c>
      <c r="DN56" s="41">
        <f>COS(RADIANS(DF56))*COS(RADIANS(DH56-Insolation!$L$6))*SIN(RADIANS(0))+(SIN(RADIANS(DF56))*COS(RADIANS(0)))</f>
        <v>0.951876242735744</v>
      </c>
      <c r="DO56" s="41">
        <f>COS(RADIANS(DF56))*COS(RADIANS(DH56-Insolation!$L$6))*SIN(RADIANS(Insolation!$L$7))+SIN(RADIANS(DF56))*COS(RADIANS(Insolation!$L$7))</f>
        <v>0.93617862584143996</v>
      </c>
      <c r="DP56" s="40">
        <f t="shared" si="94"/>
        <v>834.6933167347787</v>
      </c>
      <c r="DQ56" s="40">
        <f t="shared" si="95"/>
        <v>115.11895651914536</v>
      </c>
      <c r="DR56" s="40">
        <f t="shared" si="96"/>
        <v>820.92819126775294</v>
      </c>
      <c r="DS56" s="40">
        <f>$DD$55*DM56*((1+COS(RADIANS(Insolation!$L$7)))/2)</f>
        <v>105.04997409345701</v>
      </c>
      <c r="DT56" s="40">
        <f t="shared" si="97"/>
        <v>805.29165707625543</v>
      </c>
      <c r="DU56" s="40">
        <f t="shared" si="98"/>
        <v>100.8933584634508</v>
      </c>
      <c r="DV56" s="40">
        <f t="shared" si="99"/>
        <v>876.89268757861294</v>
      </c>
      <c r="DW56" s="40">
        <f t="shared" si="100"/>
        <v>112.34897815912446</v>
      </c>
    </row>
    <row r="57" spans="1:127" x14ac:dyDescent="0.15">
      <c r="C57" s="48"/>
      <c r="D57" s="48">
        <v>12</v>
      </c>
      <c r="E57" s="40">
        <f t="shared" si="12"/>
        <v>28.730526089778191</v>
      </c>
      <c r="F57" s="181">
        <f t="shared" si="13"/>
        <v>0</v>
      </c>
      <c r="G57" s="40">
        <f t="shared" si="19"/>
        <v>0</v>
      </c>
      <c r="H57" s="40">
        <f t="shared" si="20"/>
        <v>0</v>
      </c>
      <c r="I57" s="40">
        <f t="shared" si="21"/>
        <v>180</v>
      </c>
      <c r="J57" s="40">
        <f t="shared" si="22"/>
        <v>-180</v>
      </c>
      <c r="K57" s="40">
        <f t="shared" si="23"/>
        <v>2.0803395692033502</v>
      </c>
      <c r="L57" s="40">
        <f t="shared" si="24"/>
        <v>922.92076134812771</v>
      </c>
      <c r="M57" s="41">
        <f>COS(RADIANS(E57))*COS(RADIANS(G57-Insolation!$L$6))*SIN(RADIANS(0))+(SIN(RADIANS(E57))*COS(RADIANS(0)))</f>
        <v>0.48069075587642757</v>
      </c>
      <c r="N57" s="41">
        <f>COS(RADIANS(E57))*COS(RADIANS(G57-Insolation!$L$6))*SIN(RADIANS(Insolation!$L$7))+SIN(RADIANS(E57))*COS(RADIANS(Insolation!$L$7))</f>
        <v>0.88897397707578274</v>
      </c>
      <c r="O57" s="40">
        <f t="shared" si="25"/>
        <v>443.63947838647954</v>
      </c>
      <c r="P57" s="40">
        <f t="shared" si="26"/>
        <v>50.974098425011817</v>
      </c>
      <c r="Q57" s="40">
        <f t="shared" si="27"/>
        <v>820.45253974145442</v>
      </c>
      <c r="R57" s="40">
        <f>$C$55*L57*((1+COS(RADIANS(Insolation!$L$7)))/2)</f>
        <v>46.515603345433917</v>
      </c>
      <c r="S57" s="40">
        <f t="shared" si="28"/>
        <v>860.05567093042885</v>
      </c>
      <c r="T57" s="40">
        <f t="shared" si="29"/>
        <v>45.011261633245987</v>
      </c>
      <c r="U57" s="40">
        <f t="shared" si="30"/>
        <v>922.92076134812771</v>
      </c>
      <c r="V57" s="40">
        <f t="shared" si="31"/>
        <v>37.738438163525089</v>
      </c>
      <c r="X57" s="48"/>
      <c r="Y57" s="48">
        <v>12</v>
      </c>
      <c r="Z57" s="40">
        <f t="shared" si="32"/>
        <v>36.710843814973295</v>
      </c>
      <c r="AA57" s="181">
        <f t="shared" si="14"/>
        <v>0</v>
      </c>
      <c r="AB57" s="40">
        <f t="shared" si="33"/>
        <v>0</v>
      </c>
      <c r="AC57" s="40">
        <f t="shared" si="34"/>
        <v>0</v>
      </c>
      <c r="AD57" s="40">
        <f t="shared" si="35"/>
        <v>180</v>
      </c>
      <c r="AE57" s="40">
        <f t="shared" si="102"/>
        <v>-180</v>
      </c>
      <c r="AF57" s="40">
        <f t="shared" si="37"/>
        <v>1.67286496439919</v>
      </c>
      <c r="AG57" s="40">
        <f t="shared" si="38"/>
        <v>950.86666730261368</v>
      </c>
      <c r="AH57" s="41">
        <f>COS(RADIANS(Z57))*COS(RADIANS(AB57-Insolation!$L$6))*SIN(RADIANS(0))+(SIN(RADIANS(Z57))*COS(RADIANS(0)))</f>
        <v>0.59777688055003908</v>
      </c>
      <c r="AI57" s="41">
        <f>COS(RADIANS(Z57))*COS(RADIANS(AB57-Insolation!$L$6))*SIN(RADIANS(Insolation!$L$7))+SIN(RADIANS(Z57))*COS(RADIANS(Insolation!$L$7))</f>
        <v>0.94333790092429115</v>
      </c>
      <c r="AJ57" s="40">
        <f t="shared" si="39"/>
        <v>568.40611019916821</v>
      </c>
      <c r="AK57" s="40">
        <f t="shared" si="40"/>
        <v>59.852831505002285</v>
      </c>
      <c r="AL57" s="40">
        <f t="shared" si="41"/>
        <v>896.98856599212388</v>
      </c>
      <c r="AM57" s="40">
        <f>$X$55*AG57*((1+COS(RADIANS(Insolation!$L$7)))/2)</f>
        <v>54.617750100739158</v>
      </c>
      <c r="AN57" s="40">
        <f t="shared" si="42"/>
        <v>925.40473492032595</v>
      </c>
      <c r="AO57" s="40">
        <f t="shared" si="43"/>
        <v>52.851380242172887</v>
      </c>
      <c r="AP57" s="40">
        <f t="shared" si="44"/>
        <v>950.86666730261368</v>
      </c>
      <c r="AQ57" s="40">
        <f t="shared" si="45"/>
        <v>47.81573520707483</v>
      </c>
      <c r="AS57" s="48"/>
      <c r="AT57" s="48">
        <v>12</v>
      </c>
      <c r="AU57" s="40">
        <f t="shared" si="46"/>
        <v>47.181121347110185</v>
      </c>
      <c r="AV57" s="181">
        <f t="shared" si="15"/>
        <v>0</v>
      </c>
      <c r="AW57" s="40">
        <f t="shared" si="47"/>
        <v>0</v>
      </c>
      <c r="AX57" s="40">
        <f t="shared" si="48"/>
        <v>0</v>
      </c>
      <c r="AY57" s="40">
        <f t="shared" si="49"/>
        <v>180</v>
      </c>
      <c r="AZ57" s="40">
        <f t="shared" si="103"/>
        <v>-180</v>
      </c>
      <c r="BA57" s="40">
        <f t="shared" si="51"/>
        <v>1.3633154533038465</v>
      </c>
      <c r="BB57" s="40">
        <f t="shared" si="52"/>
        <v>953.03395954574751</v>
      </c>
      <c r="BC57" s="41">
        <f>COS(RADIANS(AU57))*COS(RADIANS(AW57-Insolation!$L$6))*SIN(RADIANS(0))+(SIN(RADIANS(AU57))*COS(RADIANS(0)))</f>
        <v>0.73350595240199834</v>
      </c>
      <c r="BD57" s="41">
        <f>COS(RADIANS(AU57))*COS(RADIANS(AW57-Insolation!$L$6))*SIN(RADIANS(Insolation!$L$7))+SIN(RADIANS(AU57))*COS(RADIANS(Insolation!$L$7))</f>
        <v>0.98683250794089594</v>
      </c>
      <c r="BE57" s="40">
        <f t="shared" si="53"/>
        <v>699.05608216805103</v>
      </c>
      <c r="BF57" s="40">
        <f t="shared" si="54"/>
        <v>74.040232694322242</v>
      </c>
      <c r="BG57" s="40">
        <f t="shared" si="55"/>
        <v>940.48489245137239</v>
      </c>
      <c r="BH57" s="40">
        <f>$AS$55*BB57*((1+COS(RADIANS(Insolation!$L$7)))/2)</f>
        <v>67.564237564284554</v>
      </c>
      <c r="BI57" s="40">
        <f t="shared" si="56"/>
        <v>951.88077643246606</v>
      </c>
      <c r="BJ57" s="40">
        <f t="shared" si="57"/>
        <v>65.379170758521937</v>
      </c>
      <c r="BK57" s="40">
        <f t="shared" si="58"/>
        <v>953.03395954574751</v>
      </c>
      <c r="BL57" s="40">
        <f t="shared" si="59"/>
        <v>64.174592046418326</v>
      </c>
      <c r="BN57" s="48"/>
      <c r="BO57" s="48">
        <v>12</v>
      </c>
      <c r="BP57" s="40">
        <f t="shared" si="60"/>
        <v>59.414893346880049</v>
      </c>
      <c r="BQ57" s="181">
        <f t="shared" si="16"/>
        <v>0</v>
      </c>
      <c r="BR57" s="40">
        <f t="shared" si="61"/>
        <v>0</v>
      </c>
      <c r="BS57" s="40">
        <f t="shared" si="62"/>
        <v>0</v>
      </c>
      <c r="BT57" s="40">
        <f t="shared" si="63"/>
        <v>180</v>
      </c>
      <c r="BU57" s="40">
        <f t="shared" si="104"/>
        <v>-180</v>
      </c>
      <c r="BV57" s="40">
        <f t="shared" si="65"/>
        <v>1.1616097496886211</v>
      </c>
      <c r="BW57" s="40">
        <f t="shared" si="66"/>
        <v>931.37199592410832</v>
      </c>
      <c r="BX57" s="41">
        <f>COS(RADIANS(BP57))*COS(RADIANS(BR57-Insolation!$L$6))*SIN(RADIANS(0))+(SIN(RADIANS(BP57))*COS(RADIANS(0)))</f>
        <v>0.86087431710009155</v>
      </c>
      <c r="BY57" s="41">
        <f>COS(RADIANS(BP57))*COS(RADIANS(BR57-Insolation!$L$6))*SIN(RADIANS(Insolation!$L$7))+SIN(RADIANS(BP57))*COS(RADIANS(Insolation!$L$7))</f>
        <v>0.99597968450773067</v>
      </c>
      <c r="BZ57" s="40">
        <f t="shared" si="67"/>
        <v>801.79423095731602</v>
      </c>
      <c r="CA57" s="40">
        <f t="shared" si="68"/>
        <v>91.682947859962681</v>
      </c>
      <c r="CB57" s="40">
        <f t="shared" si="69"/>
        <v>927.62758665982881</v>
      </c>
      <c r="CC57" s="40">
        <f>$BN$55*BW57*((1+COS(RADIANS(Insolation!$L$7)))/2)</f>
        <v>83.66381687883937</v>
      </c>
      <c r="CD57" s="40">
        <f t="shared" si="70"/>
        <v>918.82611119796184</v>
      </c>
      <c r="CE57" s="40">
        <f t="shared" si="71"/>
        <v>80.958080298427035</v>
      </c>
      <c r="CF57" s="40">
        <f t="shared" si="72"/>
        <v>931.37199592410832</v>
      </c>
      <c r="CG57" s="40">
        <f t="shared" si="73"/>
        <v>85.305221494315674</v>
      </c>
      <c r="CI57" s="48"/>
      <c r="CJ57" s="48">
        <v>12</v>
      </c>
      <c r="CK57" s="40">
        <f t="shared" si="74"/>
        <v>68.791917517696149</v>
      </c>
      <c r="CL57" s="181">
        <f t="shared" si="17"/>
        <v>0</v>
      </c>
      <c r="CM57" s="40">
        <f t="shared" si="75"/>
        <v>0</v>
      </c>
      <c r="CN57" s="40">
        <f t="shared" si="76"/>
        <v>0</v>
      </c>
      <c r="CO57" s="40">
        <f t="shared" si="77"/>
        <v>180</v>
      </c>
      <c r="CP57" s="40">
        <f t="shared" si="105"/>
        <v>-180</v>
      </c>
      <c r="CQ57" s="40">
        <f t="shared" si="79"/>
        <v>1.0726474294749806</v>
      </c>
      <c r="CR57" s="40">
        <f t="shared" si="80"/>
        <v>901.54029602360208</v>
      </c>
      <c r="CS57" s="41">
        <f>COS(RADIANS(CK57))*COS(RADIANS(CM57-Insolation!$L$6))*SIN(RADIANS(0))+(SIN(RADIANS(CK57))*COS(RADIANS(0)))</f>
        <v>0.93227277903370476</v>
      </c>
      <c r="CT57" s="41">
        <f>COS(RADIANS(CK57))*COS(RADIANS(CM57-Insolation!$L$6))*SIN(RADIANS(Insolation!$L$7))+SIN(RADIANS(CK57))*COS(RADIANS(Insolation!$L$7))</f>
        <v>0.97231363578511421</v>
      </c>
      <c r="CU57" s="40">
        <f t="shared" si="81"/>
        <v>840.48147718479231</v>
      </c>
      <c r="CV57" s="40">
        <f t="shared" si="82"/>
        <v>106.08250688719377</v>
      </c>
      <c r="CW57" s="40">
        <f t="shared" si="83"/>
        <v>876.5799230334967</v>
      </c>
      <c r="CX57" s="40">
        <f>$CI$55*CR57*((1+COS(RADIANS(Insolation!$L$7)))/2)</f>
        <v>96.803905605375562</v>
      </c>
      <c r="CY57" s="40">
        <f t="shared" si="84"/>
        <v>853.48343036486835</v>
      </c>
      <c r="CZ57" s="40">
        <f t="shared" si="101"/>
        <v>93.673210900129632</v>
      </c>
      <c r="DA57" s="40">
        <f t="shared" si="85"/>
        <v>901.54029602360208</v>
      </c>
      <c r="DB57" s="40">
        <f t="shared" si="86"/>
        <v>102.49017019489001</v>
      </c>
      <c r="DD57" s="48"/>
      <c r="DE57" s="48">
        <v>12</v>
      </c>
      <c r="DF57" s="40">
        <f t="shared" si="87"/>
        <v>73.314409916663166</v>
      </c>
      <c r="DG57" s="181">
        <f t="shared" si="18"/>
        <v>0</v>
      </c>
      <c r="DH57" s="40">
        <f t="shared" si="88"/>
        <v>0</v>
      </c>
      <c r="DI57" s="40">
        <f t="shared" si="89"/>
        <v>0</v>
      </c>
      <c r="DJ57" s="40">
        <f t="shared" si="90"/>
        <v>180</v>
      </c>
      <c r="DK57" s="40">
        <f t="shared" si="106"/>
        <v>-180</v>
      </c>
      <c r="DL57" s="40">
        <f t="shared" si="92"/>
        <v>1.0439560450220546</v>
      </c>
      <c r="DM57" s="40">
        <f t="shared" si="93"/>
        <v>878.08437179286261</v>
      </c>
      <c r="DN57" s="41">
        <f>COS(RADIANS(DF57))*COS(RADIANS(DH57-Insolation!$L$6))*SIN(RADIANS(0))+(SIN(RADIANS(DF57))*COS(RADIANS(0)))</f>
        <v>0.957894735863974</v>
      </c>
      <c r="DO57" s="41">
        <f>COS(RADIANS(DF57))*COS(RADIANS(DH57-Insolation!$L$6))*SIN(RADIANS(Insolation!$L$7))+SIN(RADIANS(DF57))*COS(RADIANS(Insolation!$L$7))</f>
        <v>0.95154533619686443</v>
      </c>
      <c r="DP57" s="40">
        <f t="shared" si="94"/>
        <v>841.11239738480765</v>
      </c>
      <c r="DQ57" s="40">
        <f t="shared" si="95"/>
        <v>115.27540148121201</v>
      </c>
      <c r="DR57" s="40">
        <f t="shared" si="96"/>
        <v>835.53708876685198</v>
      </c>
      <c r="DS57" s="40">
        <f>$DD$55*DM57*((1+COS(RADIANS(Insolation!$L$7)))/2)</f>
        <v>105.19273545708543</v>
      </c>
      <c r="DT57" s="40">
        <f t="shared" si="97"/>
        <v>806.38603654731094</v>
      </c>
      <c r="DU57" s="40">
        <f t="shared" si="98"/>
        <v>101.79074110710184</v>
      </c>
      <c r="DV57" s="40">
        <f t="shared" si="99"/>
        <v>878.08437179286261</v>
      </c>
      <c r="DW57" s="40">
        <f t="shared" si="100"/>
        <v>112.84855086733558</v>
      </c>
    </row>
    <row r="58" spans="1:127" x14ac:dyDescent="0.15">
      <c r="D58" s="48">
        <v>12.5</v>
      </c>
      <c r="E58" s="40">
        <f t="shared" si="12"/>
        <v>28.332237921136837</v>
      </c>
      <c r="F58" s="181">
        <f t="shared" si="13"/>
        <v>-7.5</v>
      </c>
      <c r="G58" s="40">
        <f t="shared" si="19"/>
        <v>-7.9430616078555261</v>
      </c>
      <c r="H58" s="40">
        <f t="shared" si="20"/>
        <v>-7.9430616078555261</v>
      </c>
      <c r="I58" s="40">
        <f t="shared" si="21"/>
        <v>187.94306160785553</v>
      </c>
      <c r="J58" s="40">
        <f t="shared" si="22"/>
        <v>-172.05693839214447</v>
      </c>
      <c r="K58" s="40">
        <f t="shared" si="23"/>
        <v>2.1071105771317757</v>
      </c>
      <c r="L58" s="40">
        <f t="shared" si="24"/>
        <v>919.48781662123736</v>
      </c>
      <c r="M58" s="41">
        <f>COS(RADIANS(E58))*COS(RADIANS(G58-Insolation!$L$6))*SIN(RADIANS(0))+(SIN(RADIANS(E58))*COS(RADIANS(0)))</f>
        <v>0.47458354148704052</v>
      </c>
      <c r="N58" s="41">
        <f>COS(RADIANS(E58))*COS(RADIANS(G58-Insolation!$L$6))*SIN(RADIANS(Insolation!$L$7))+SIN(RADIANS(E58))*COS(RADIANS(Insolation!$L$7))</f>
        <v>0.88873462508872114</v>
      </c>
      <c r="O58" s="40">
        <f t="shared" si="25"/>
        <v>436.37378436629331</v>
      </c>
      <c r="P58" s="40">
        <f t="shared" si="26"/>
        <v>50.784492480791293</v>
      </c>
      <c r="Q58" s="40">
        <f t="shared" si="27"/>
        <v>817.18065997852216</v>
      </c>
      <c r="R58" s="40">
        <f>$C$55*L58*((1+COS(RADIANS(Insolation!$L$7)))/2)</f>
        <v>46.34258145459512</v>
      </c>
      <c r="S58" s="40">
        <f t="shared" si="28"/>
        <v>856.85656250855311</v>
      </c>
      <c r="T58" s="40">
        <f t="shared" si="29"/>
        <v>44.729906152135413</v>
      </c>
      <c r="U58" s="40">
        <f t="shared" si="30"/>
        <v>919.48781662123736</v>
      </c>
      <c r="V58" s="40">
        <f t="shared" si="31"/>
        <v>37.442988387473605</v>
      </c>
      <c r="Y58" s="48">
        <v>12.5</v>
      </c>
      <c r="Z58" s="40">
        <f t="shared" si="32"/>
        <v>36.256331000109633</v>
      </c>
      <c r="AA58" s="181">
        <f t="shared" si="14"/>
        <v>-7.5</v>
      </c>
      <c r="AB58" s="40">
        <f t="shared" si="33"/>
        <v>-9.0637078113251714</v>
      </c>
      <c r="AC58" s="40">
        <f t="shared" si="34"/>
        <v>-9.0637078113251714</v>
      </c>
      <c r="AD58" s="40">
        <f t="shared" si="35"/>
        <v>189.06370781132517</v>
      </c>
      <c r="AE58" s="40">
        <f t="shared" si="102"/>
        <v>-170.93629218867483</v>
      </c>
      <c r="AF58" s="40">
        <f t="shared" si="37"/>
        <v>1.6909065038274866</v>
      </c>
      <c r="AG58" s="40">
        <f t="shared" si="38"/>
        <v>948.3661338160183</v>
      </c>
      <c r="AH58" s="41">
        <f>COS(RADIANS(Z58))*COS(RADIANS(AB58-Insolation!$L$6))*SIN(RADIANS(0))+(SIN(RADIANS(Z58))*COS(RADIANS(0)))</f>
        <v>0.5913987542992053</v>
      </c>
      <c r="AI58" s="41">
        <f>COS(RADIANS(Z58))*COS(RADIANS(AB58-Insolation!$L$6))*SIN(RADIANS(Insolation!$L$7))+SIN(RADIANS(Z58))*COS(RADIANS(Insolation!$L$7))</f>
        <v>0.94308793144646863</v>
      </c>
      <c r="AJ58" s="40">
        <f t="shared" si="39"/>
        <v>560.86255015834661</v>
      </c>
      <c r="AK58" s="40">
        <f t="shared" si="40"/>
        <v>59.695434033209132</v>
      </c>
      <c r="AL58" s="40">
        <f t="shared" si="41"/>
        <v>894.39265539443352</v>
      </c>
      <c r="AM58" s="40">
        <f>$X$55*AG58*((1+COS(RADIANS(Insolation!$L$7)))/2)</f>
        <v>54.474119539498822</v>
      </c>
      <c r="AN58" s="40">
        <f t="shared" si="42"/>
        <v>922.97115973266432</v>
      </c>
      <c r="AO58" s="40">
        <f t="shared" si="43"/>
        <v>52.559481351231696</v>
      </c>
      <c r="AP58" s="40">
        <f t="shared" si="44"/>
        <v>948.3661338160183</v>
      </c>
      <c r="AQ58" s="40">
        <f t="shared" si="45"/>
        <v>47.499619678899705</v>
      </c>
      <c r="AT58" s="48">
        <v>12.5</v>
      </c>
      <c r="AU58" s="40">
        <f t="shared" si="46"/>
        <v>46.632164062839109</v>
      </c>
      <c r="AV58" s="181">
        <f t="shared" si="15"/>
        <v>-7.5</v>
      </c>
      <c r="AW58" s="40">
        <f t="shared" si="47"/>
        <v>-10.944212864710162</v>
      </c>
      <c r="AX58" s="40">
        <f t="shared" si="48"/>
        <v>-10.944212864710162</v>
      </c>
      <c r="AY58" s="40">
        <f t="shared" si="49"/>
        <v>190.94421286471015</v>
      </c>
      <c r="AZ58" s="40">
        <f t="shared" si="103"/>
        <v>-169.05578713528985</v>
      </c>
      <c r="BA58" s="40">
        <f t="shared" si="51"/>
        <v>1.3755910010916348</v>
      </c>
      <c r="BB58" s="40">
        <f t="shared" si="52"/>
        <v>951.17734858289964</v>
      </c>
      <c r="BC58" s="41">
        <f>COS(RADIANS(AU58))*COS(RADIANS(AW58-Insolation!$L$6))*SIN(RADIANS(0))+(SIN(RADIANS(AU58))*COS(RADIANS(0)))</f>
        <v>0.72696026595581453</v>
      </c>
      <c r="BD58" s="41">
        <f>COS(RADIANS(AU58))*COS(RADIANS(AW58-Insolation!$L$6))*SIN(RADIANS(Insolation!$L$7))+SIN(RADIANS(AU58))*COS(RADIANS(Insolation!$L$7))</f>
        <v>0.98657597149765275</v>
      </c>
      <c r="BE58" s="40">
        <f t="shared" si="53"/>
        <v>691.46813829697123</v>
      </c>
      <c r="BF58" s="40">
        <f t="shared" si="54"/>
        <v>73.895994489234965</v>
      </c>
      <c r="BG58" s="40">
        <f t="shared" si="55"/>
        <v>938.40871674473567</v>
      </c>
      <c r="BH58" s="40">
        <f>$AS$55*BB58*((1+COS(RADIANS(Insolation!$L$7)))/2)</f>
        <v>67.432615282725862</v>
      </c>
      <c r="BI58" s="40">
        <f t="shared" si="56"/>
        <v>950.02641199230379</v>
      </c>
      <c r="BJ58" s="40">
        <f t="shared" si="57"/>
        <v>65.022960917933204</v>
      </c>
      <c r="BK58" s="40">
        <f t="shared" si="58"/>
        <v>951.17734858289964</v>
      </c>
      <c r="BL58" s="40">
        <f t="shared" si="59"/>
        <v>63.807723148099321</v>
      </c>
      <c r="BO58" s="48">
        <v>12.5</v>
      </c>
      <c r="BP58" s="40">
        <f t="shared" si="60"/>
        <v>58.694502658095388</v>
      </c>
      <c r="BQ58" s="181">
        <f t="shared" si="16"/>
        <v>-7.5</v>
      </c>
      <c r="BR58" s="40">
        <f t="shared" si="61"/>
        <v>-14.348596141940414</v>
      </c>
      <c r="BS58" s="40">
        <f t="shared" si="62"/>
        <v>-14.348596141940414</v>
      </c>
      <c r="BT58" s="40">
        <f t="shared" si="63"/>
        <v>194.34859614194042</v>
      </c>
      <c r="BU58" s="40">
        <f t="shared" si="104"/>
        <v>-165.65140385805958</v>
      </c>
      <c r="BV58" s="40">
        <f t="shared" si="65"/>
        <v>1.1703996837029251</v>
      </c>
      <c r="BW58" s="40">
        <f t="shared" si="66"/>
        <v>929.92400528210146</v>
      </c>
      <c r="BX58" s="41">
        <f>COS(RADIANS(BP58))*COS(RADIANS(BR58-Insolation!$L$6))*SIN(RADIANS(0))+(SIN(RADIANS(BP58))*COS(RADIANS(0)))</f>
        <v>0.85440898004704469</v>
      </c>
      <c r="BY58" s="41">
        <f>COS(RADIANS(BP58))*COS(RADIANS(BR58-Insolation!$L$6))*SIN(RADIANS(Insolation!$L$7))+SIN(RADIANS(BP58))*COS(RADIANS(Insolation!$L$7))</f>
        <v>0.99572629709212634</v>
      </c>
      <c r="BZ58" s="40">
        <f t="shared" si="67"/>
        <v>794.53542087434289</v>
      </c>
      <c r="CA58" s="40">
        <f t="shared" si="68"/>
        <v>91.540409700007473</v>
      </c>
      <c r="CB58" s="40">
        <f t="shared" si="69"/>
        <v>925.94978635662585</v>
      </c>
      <c r="CC58" s="40">
        <f>$BN$55*BW58*((1+COS(RADIANS(Insolation!$L$7)))/2)</f>
        <v>83.533745946445777</v>
      </c>
      <c r="CD58" s="40">
        <f t="shared" si="70"/>
        <v>917.3976254624356</v>
      </c>
      <c r="CE58" s="40">
        <f t="shared" si="71"/>
        <v>80.459544549808214</v>
      </c>
      <c r="CF58" s="40">
        <f t="shared" si="72"/>
        <v>929.92400528210146</v>
      </c>
      <c r="CG58" s="40">
        <f t="shared" si="73"/>
        <v>84.876678892439728</v>
      </c>
      <c r="CJ58" s="48">
        <v>12.5</v>
      </c>
      <c r="CK58" s="40">
        <f t="shared" si="74"/>
        <v>67.830031913399694</v>
      </c>
      <c r="CL58" s="181">
        <f t="shared" si="17"/>
        <v>-7.5</v>
      </c>
      <c r="CM58" s="40">
        <f t="shared" si="75"/>
        <v>-19.114623138879164</v>
      </c>
      <c r="CN58" s="40">
        <f t="shared" si="76"/>
        <v>-19.114623138879164</v>
      </c>
      <c r="CO58" s="40">
        <f t="shared" si="77"/>
        <v>199.11462313887915</v>
      </c>
      <c r="CP58" s="40">
        <f t="shared" si="105"/>
        <v>-160.88537686112085</v>
      </c>
      <c r="CQ58" s="40">
        <f t="shared" si="79"/>
        <v>1.0798337213225893</v>
      </c>
      <c r="CR58" s="40">
        <f t="shared" si="80"/>
        <v>900.28536813949859</v>
      </c>
      <c r="CS58" s="41">
        <f>COS(RADIANS(CK58))*COS(RADIANS(CM58-Insolation!$L$6))*SIN(RADIANS(0))+(SIN(RADIANS(CK58))*COS(RADIANS(0)))</f>
        <v>0.92606850504278726</v>
      </c>
      <c r="CT58" s="41">
        <f>COS(RADIANS(CK58))*COS(RADIANS(CM58-Insolation!$L$6))*SIN(RADIANS(Insolation!$L$7))+SIN(RADIANS(CK58))*COS(RADIANS(Insolation!$L$7))</f>
        <v>0.97207047986928785</v>
      </c>
      <c r="CU58" s="40">
        <f t="shared" si="81"/>
        <v>833.72592498484084</v>
      </c>
      <c r="CV58" s="40">
        <f t="shared" si="82"/>
        <v>105.93484194476633</v>
      </c>
      <c r="CW58" s="40">
        <f t="shared" si="83"/>
        <v>875.14082982666082</v>
      </c>
      <c r="CX58" s="40">
        <f>$CI$55*CR58*((1+COS(RADIANS(Insolation!$L$7)))/2)</f>
        <v>96.669156309121007</v>
      </c>
      <c r="CY58" s="40">
        <f t="shared" si="84"/>
        <v>852.29539677379171</v>
      </c>
      <c r="CZ58" s="40">
        <f t="shared" si="101"/>
        <v>92.965548464212048</v>
      </c>
      <c r="DA58" s="40">
        <f t="shared" si="85"/>
        <v>900.28536813949859</v>
      </c>
      <c r="DB58" s="40">
        <f t="shared" si="86"/>
        <v>102.01888132825002</v>
      </c>
      <c r="DE58" s="48">
        <v>12.5</v>
      </c>
      <c r="DF58" s="40">
        <f t="shared" si="87"/>
        <v>72.152613693909501</v>
      </c>
      <c r="DG58" s="181">
        <f t="shared" si="18"/>
        <v>-7.5</v>
      </c>
      <c r="DH58" s="40">
        <f t="shared" si="88"/>
        <v>-23.023561890167255</v>
      </c>
      <c r="DI58" s="40">
        <f t="shared" si="89"/>
        <v>-23.023561890167255</v>
      </c>
      <c r="DJ58" s="40">
        <f t="shared" si="90"/>
        <v>203.02356189016726</v>
      </c>
      <c r="DK58" s="40">
        <f t="shared" si="106"/>
        <v>-156.97643810983274</v>
      </c>
      <c r="DL58" s="40">
        <f t="shared" si="92"/>
        <v>1.0505567374241274</v>
      </c>
      <c r="DM58" s="40">
        <f t="shared" si="93"/>
        <v>876.89268757861294</v>
      </c>
      <c r="DN58" s="41">
        <f>COS(RADIANS(DF58))*COS(RADIANS(DH58-Insolation!$L$6))*SIN(RADIANS(0))+(SIN(RADIANS(DF58))*COS(RADIANS(0)))</f>
        <v>0.951876242735744</v>
      </c>
      <c r="DO58" s="41">
        <f>COS(RADIANS(DF58))*COS(RADIANS(DH58-Insolation!$L$6))*SIN(RADIANS(Insolation!$L$7))+SIN(RADIANS(DF58))*COS(RADIANS(Insolation!$L$7))</f>
        <v>0.95130946134500716</v>
      </c>
      <c r="DP58" s="40">
        <f t="shared" si="94"/>
        <v>834.6933167347787</v>
      </c>
      <c r="DQ58" s="40">
        <f t="shared" si="95"/>
        <v>115.11895651914536</v>
      </c>
      <c r="DR58" s="40">
        <f t="shared" si="96"/>
        <v>834.19631027778587</v>
      </c>
      <c r="DS58" s="40">
        <f>$DD$55*DM58*((1+COS(RADIANS(Insolation!$L$7)))/2)</f>
        <v>105.04997409345701</v>
      </c>
      <c r="DT58" s="40">
        <f t="shared" si="97"/>
        <v>805.29165707625543</v>
      </c>
      <c r="DU58" s="40">
        <f t="shared" si="98"/>
        <v>100.8933584634508</v>
      </c>
      <c r="DV58" s="40">
        <f t="shared" si="99"/>
        <v>876.89268757861294</v>
      </c>
      <c r="DW58" s="40">
        <f t="shared" si="100"/>
        <v>112.34897815912446</v>
      </c>
    </row>
    <row r="59" spans="1:127" x14ac:dyDescent="0.15">
      <c r="D59" s="48">
        <v>13</v>
      </c>
      <c r="E59" s="40">
        <f t="shared" si="12"/>
        <v>27.152884967848934</v>
      </c>
      <c r="F59" s="181">
        <f t="shared" si="13"/>
        <v>-15</v>
      </c>
      <c r="G59" s="40">
        <f t="shared" si="19"/>
        <v>-15.727518915571107</v>
      </c>
      <c r="H59" s="40">
        <f t="shared" si="20"/>
        <v>-15.727518915571107</v>
      </c>
      <c r="I59" s="40">
        <f t="shared" si="21"/>
        <v>195.7275189155711</v>
      </c>
      <c r="J59" s="40">
        <f t="shared" si="22"/>
        <v>-164.2724810844289</v>
      </c>
      <c r="K59" s="40">
        <f t="shared" si="23"/>
        <v>2.1912218168571918</v>
      </c>
      <c r="L59" s="40">
        <f t="shared" si="24"/>
        <v>908.78478844942481</v>
      </c>
      <c r="M59" s="41">
        <f>COS(RADIANS(E59))*COS(RADIANS(G59-Insolation!$L$6))*SIN(RADIANS(0))+(SIN(RADIANS(E59))*COS(RADIANS(0)))</f>
        <v>0.45636639445032179</v>
      </c>
      <c r="N59" s="41">
        <f>COS(RADIANS(E59))*COS(RADIANS(G59-Insolation!$L$6))*SIN(RADIANS(Insolation!$L$7))+SIN(RADIANS(E59))*COS(RADIANS(Insolation!$L$7))</f>
        <v>0.87266677868448017</v>
      </c>
      <c r="O59" s="40">
        <f t="shared" si="25"/>
        <v>414.73883723596242</v>
      </c>
      <c r="P59" s="40">
        <f t="shared" si="26"/>
        <v>50.193350495125358</v>
      </c>
      <c r="Q59" s="40">
        <f t="shared" si="27"/>
        <v>793.06629385361634</v>
      </c>
      <c r="R59" s="40">
        <f>$C$55*L59*((1+COS(RADIANS(Insolation!$L$7)))/2)</f>
        <v>45.803144231070313</v>
      </c>
      <c r="S59" s="40">
        <f t="shared" si="28"/>
        <v>846.8825750756024</v>
      </c>
      <c r="T59" s="40">
        <f t="shared" si="29"/>
        <v>43.870421892191693</v>
      </c>
      <c r="U59" s="40">
        <f t="shared" si="30"/>
        <v>908.78478844942481</v>
      </c>
      <c r="V59" s="40">
        <f t="shared" si="31"/>
        <v>36.549954442983498</v>
      </c>
      <c r="Y59" s="48">
        <v>13</v>
      </c>
      <c r="Z59" s="40">
        <f t="shared" si="32"/>
        <v>34.915904015534416</v>
      </c>
      <c r="AA59" s="181">
        <f t="shared" si="14"/>
        <v>-15</v>
      </c>
      <c r="AB59" s="40">
        <f t="shared" si="33"/>
        <v>-17.889588732377419</v>
      </c>
      <c r="AC59" s="40">
        <f t="shared" si="34"/>
        <v>-17.889588732377419</v>
      </c>
      <c r="AD59" s="40">
        <f t="shared" si="35"/>
        <v>197.88958873237743</v>
      </c>
      <c r="AE59" s="40">
        <f t="shared" si="102"/>
        <v>-162.11041126762257</v>
      </c>
      <c r="AF59" s="40">
        <f t="shared" si="37"/>
        <v>1.747110912147001</v>
      </c>
      <c r="AG59" s="40">
        <f t="shared" si="38"/>
        <v>940.61835047866577</v>
      </c>
      <c r="AH59" s="41">
        <f>COS(RADIANS(Z59))*COS(RADIANS(AB59-Insolation!$L$6))*SIN(RADIANS(0))+(SIN(RADIANS(Z59))*COS(RADIANS(0)))</f>
        <v>0.57237350705520662</v>
      </c>
      <c r="AI59" s="41">
        <f>COS(RADIANS(Z59))*COS(RADIANS(AB59-Insolation!$L$6))*SIN(RADIANS(Insolation!$L$7))+SIN(RADIANS(Z59))*COS(RADIANS(Insolation!$L$7))</f>
        <v>0.92630732634386281</v>
      </c>
      <c r="AJ59" s="40">
        <f t="shared" si="39"/>
        <v>538.38502406395742</v>
      </c>
      <c r="AK59" s="40">
        <f t="shared" si="40"/>
        <v>59.207745499607142</v>
      </c>
      <c r="AL59" s="40">
        <f t="shared" si="41"/>
        <v>871.30166934186741</v>
      </c>
      <c r="AM59" s="40">
        <f>$X$55*AG59*((1+COS(RADIANS(Insolation!$L$7)))/2)</f>
        <v>54.029087119386112</v>
      </c>
      <c r="AN59" s="40">
        <f t="shared" si="42"/>
        <v>915.43084348005868</v>
      </c>
      <c r="AO59" s="40">
        <f t="shared" si="43"/>
        <v>51.674591965506082</v>
      </c>
      <c r="AP59" s="40">
        <f t="shared" si="44"/>
        <v>940.61835047866577</v>
      </c>
      <c r="AQ59" s="40">
        <f t="shared" si="45"/>
        <v>46.5483452180247</v>
      </c>
      <c r="AT59" s="48">
        <v>13</v>
      </c>
      <c r="AU59" s="40">
        <f t="shared" si="46"/>
        <v>45.026617872795498</v>
      </c>
      <c r="AV59" s="181">
        <f t="shared" si="15"/>
        <v>-15</v>
      </c>
      <c r="AW59" s="40">
        <f t="shared" si="47"/>
        <v>-21.453898039277206</v>
      </c>
      <c r="AX59" s="40">
        <f t="shared" si="48"/>
        <v>-21.453898039277206</v>
      </c>
      <c r="AY59" s="40">
        <f t="shared" si="49"/>
        <v>201.45389803927719</v>
      </c>
      <c r="AZ59" s="40">
        <f t="shared" si="103"/>
        <v>-158.54610196072281</v>
      </c>
      <c r="BA59" s="40">
        <f t="shared" si="51"/>
        <v>1.4135570194308387</v>
      </c>
      <c r="BB59" s="40">
        <f t="shared" si="52"/>
        <v>945.45805202632357</v>
      </c>
      <c r="BC59" s="41">
        <f>COS(RADIANS(AU59))*COS(RADIANS(AW59-Insolation!$L$6))*SIN(RADIANS(0))+(SIN(RADIANS(AU59))*COS(RADIANS(0)))</f>
        <v>0.70743520512716551</v>
      </c>
      <c r="BD59" s="41">
        <f>COS(RADIANS(AU59))*COS(RADIANS(AW59-Insolation!$L$6))*SIN(RADIANS(Insolation!$L$7))+SIN(RADIANS(AU59))*COS(RADIANS(Insolation!$L$7))</f>
        <v>0.96935452195915772</v>
      </c>
      <c r="BE59" s="40">
        <f t="shared" si="53"/>
        <v>668.85031097437252</v>
      </c>
      <c r="BF59" s="40">
        <f t="shared" si="54"/>
        <v>73.451668194609994</v>
      </c>
      <c r="BG59" s="40">
        <f t="shared" si="55"/>
        <v>916.4840380544133</v>
      </c>
      <c r="BH59" s="40">
        <f>$AS$55*BB59*((1+COS(RADIANS(Insolation!$L$7)))/2)</f>
        <v>67.027152384600726</v>
      </c>
      <c r="BI59" s="40">
        <f t="shared" si="56"/>
        <v>944.3140358567083</v>
      </c>
      <c r="BJ59" s="40">
        <f t="shared" si="57"/>
        <v>63.952081384799641</v>
      </c>
      <c r="BK59" s="40">
        <f t="shared" si="58"/>
        <v>945.45805202632357</v>
      </c>
      <c r="BL59" s="40">
        <f t="shared" si="59"/>
        <v>62.706982075398209</v>
      </c>
      <c r="BO59" s="48">
        <v>13</v>
      </c>
      <c r="BP59" s="40">
        <f t="shared" si="60"/>
        <v>56.628709692492428</v>
      </c>
      <c r="BQ59" s="181">
        <f t="shared" si="16"/>
        <v>-15</v>
      </c>
      <c r="BR59" s="40">
        <f t="shared" si="61"/>
        <v>-27.657721978976703</v>
      </c>
      <c r="BS59" s="40">
        <f t="shared" si="62"/>
        <v>-27.657721978976703</v>
      </c>
      <c r="BT59" s="40">
        <f t="shared" si="63"/>
        <v>207.6577219789767</v>
      </c>
      <c r="BU59" s="40">
        <f t="shared" si="104"/>
        <v>-152.3422780210233</v>
      </c>
      <c r="BV59" s="40">
        <f t="shared" si="65"/>
        <v>1.1974275530760512</v>
      </c>
      <c r="BW59" s="40">
        <f t="shared" si="66"/>
        <v>925.48571611563091</v>
      </c>
      <c r="BX59" s="41">
        <f>COS(RADIANS(BP59))*COS(RADIANS(BR59-Insolation!$L$6))*SIN(RADIANS(0))+(SIN(RADIANS(BP59))*COS(RADIANS(0)))</f>
        <v>0.83512359259741198</v>
      </c>
      <c r="BY59" s="41">
        <f>COS(RADIANS(BP59))*COS(RADIANS(BR59-Insolation!$L$6))*SIN(RADIANS(Insolation!$L$7))+SIN(RADIANS(BP59))*COS(RADIANS(Insolation!$L$7))</f>
        <v>0.97871624371975185</v>
      </c>
      <c r="BZ59" s="40">
        <f t="shared" si="67"/>
        <v>772.89495614007421</v>
      </c>
      <c r="CA59" s="40">
        <f t="shared" si="68"/>
        <v>91.103510763795413</v>
      </c>
      <c r="CB59" s="40">
        <f t="shared" si="69"/>
        <v>905.78790369297485</v>
      </c>
      <c r="CC59" s="40">
        <f>$BN$55*BW59*((1+COS(RADIANS(Insolation!$L$7)))/2)</f>
        <v>83.135060766191359</v>
      </c>
      <c r="CD59" s="40">
        <f t="shared" si="70"/>
        <v>913.01912149941495</v>
      </c>
      <c r="CE59" s="40">
        <f t="shared" si="71"/>
        <v>78.98190095792863</v>
      </c>
      <c r="CF59" s="40">
        <f t="shared" si="72"/>
        <v>925.48571611563091</v>
      </c>
      <c r="CG59" s="40">
        <f t="shared" si="73"/>
        <v>83.593100985546613</v>
      </c>
      <c r="CJ59" s="48">
        <v>13</v>
      </c>
      <c r="CK59" s="40">
        <f t="shared" si="74"/>
        <v>65.170560838774222</v>
      </c>
      <c r="CL59" s="181">
        <f t="shared" si="17"/>
        <v>-15</v>
      </c>
      <c r="CM59" s="40">
        <f t="shared" si="75"/>
        <v>-35.697126732120012</v>
      </c>
      <c r="CN59" s="40">
        <f t="shared" si="76"/>
        <v>-35.697126732120012</v>
      </c>
      <c r="CO59" s="40">
        <f t="shared" si="77"/>
        <v>215.69712673212001</v>
      </c>
      <c r="CP59" s="40">
        <f t="shared" si="105"/>
        <v>-144.30287326787999</v>
      </c>
      <c r="CQ59" s="40">
        <f t="shared" si="79"/>
        <v>1.1018532908899796</v>
      </c>
      <c r="CR59" s="40">
        <f t="shared" si="80"/>
        <v>896.45100055053797</v>
      </c>
      <c r="CS59" s="41">
        <f>COS(RADIANS(CK59))*COS(RADIANS(CM59-Insolation!$L$6))*SIN(RADIANS(0))+(SIN(RADIANS(CK59))*COS(RADIANS(0)))</f>
        <v>0.90756183991816963</v>
      </c>
      <c r="CT59" s="41">
        <f>COS(RADIANS(CK59))*COS(RADIANS(CM59-Insolation!$L$6))*SIN(RADIANS(Insolation!$L$7))+SIN(RADIANS(CK59))*COS(RADIANS(Insolation!$L$7))</f>
        <v>0.95574727338268939</v>
      </c>
      <c r="CU59" s="40">
        <f t="shared" si="81"/>
        <v>813.5847194561303</v>
      </c>
      <c r="CV59" s="40">
        <f t="shared" si="82"/>
        <v>105.48365930993789</v>
      </c>
      <c r="CW59" s="40">
        <f t="shared" si="83"/>
        <v>856.78059949736041</v>
      </c>
      <c r="CX59" s="40">
        <f>$CI$55*CR59*((1+COS(RADIANS(Insolation!$L$7)))/2)</f>
        <v>96.257436766716509</v>
      </c>
      <c r="CY59" s="40">
        <f t="shared" si="84"/>
        <v>848.66542125573653</v>
      </c>
      <c r="CZ59" s="40">
        <f t="shared" si="101"/>
        <v>90.922418576651097</v>
      </c>
      <c r="DA59" s="40">
        <f t="shared" si="85"/>
        <v>896.45100055053797</v>
      </c>
      <c r="DB59" s="40">
        <f t="shared" si="86"/>
        <v>100.60830161728325</v>
      </c>
      <c r="DE59" s="48">
        <v>13</v>
      </c>
      <c r="DF59" s="40">
        <f t="shared" si="87"/>
        <v>69.054957780339265</v>
      </c>
      <c r="DG59" s="181">
        <f t="shared" si="18"/>
        <v>-15</v>
      </c>
      <c r="DH59" s="40">
        <f t="shared" si="88"/>
        <v>-41.675153765491544</v>
      </c>
      <c r="DI59" s="40">
        <f t="shared" si="89"/>
        <v>-41.675153765491544</v>
      </c>
      <c r="DJ59" s="40">
        <f t="shared" si="90"/>
        <v>221.67515376549153</v>
      </c>
      <c r="DK59" s="40">
        <f t="shared" si="106"/>
        <v>-138.32484623450847</v>
      </c>
      <c r="DL59" s="40">
        <f t="shared" si="92"/>
        <v>1.0707512354929565</v>
      </c>
      <c r="DM59" s="40">
        <f t="shared" si="93"/>
        <v>873.25682128789595</v>
      </c>
      <c r="DN59" s="41">
        <f>COS(RADIANS(DF59))*COS(RADIANS(DH59-Insolation!$L$6))*SIN(RADIANS(0))+(SIN(RADIANS(DF59))*COS(RADIANS(0)))</f>
        <v>0.93392374143711931</v>
      </c>
      <c r="DO59" s="41">
        <f>COS(RADIANS(DF59))*COS(RADIANS(DH59-Insolation!$L$6))*SIN(RADIANS(Insolation!$L$7))+SIN(RADIANS(DF59))*COS(RADIANS(Insolation!$L$7))</f>
        <v>0.93547503716998004</v>
      </c>
      <c r="DP59" s="40">
        <f t="shared" si="94"/>
        <v>815.55527777267764</v>
      </c>
      <c r="DQ59" s="40">
        <f t="shared" si="95"/>
        <v>114.6416379836399</v>
      </c>
      <c r="DR59" s="40">
        <f t="shared" si="96"/>
        <v>816.90995735323304</v>
      </c>
      <c r="DS59" s="40">
        <f>$DD$55*DM59*((1+COS(RADIANS(Insolation!$L$7)))/2)</f>
        <v>104.61440465028858</v>
      </c>
      <c r="DT59" s="40">
        <f t="shared" si="97"/>
        <v>801.95267063967765</v>
      </c>
      <c r="DU59" s="40">
        <f t="shared" si="98"/>
        <v>98.373233982690081</v>
      </c>
      <c r="DV59" s="40">
        <f t="shared" si="99"/>
        <v>873.25682128789595</v>
      </c>
      <c r="DW59" s="40">
        <f t="shared" si="100"/>
        <v>110.85409272690032</v>
      </c>
    </row>
    <row r="60" spans="1:127" x14ac:dyDescent="0.15">
      <c r="D60" s="48">
        <v>13.5</v>
      </c>
      <c r="E60" s="40">
        <f t="shared" si="12"/>
        <v>25.23620827307451</v>
      </c>
      <c r="F60" s="181">
        <f t="shared" si="13"/>
        <v>-22.5</v>
      </c>
      <c r="G60" s="40">
        <f t="shared" si="19"/>
        <v>-23.218854902407518</v>
      </c>
      <c r="H60" s="40">
        <f t="shared" si="20"/>
        <v>-23.218854902407518</v>
      </c>
      <c r="I60" s="40">
        <f t="shared" si="21"/>
        <v>203.21885490240751</v>
      </c>
      <c r="J60" s="40">
        <f t="shared" si="22"/>
        <v>-156.78114509759249</v>
      </c>
      <c r="K60" s="40">
        <f t="shared" si="23"/>
        <v>2.3454852089992011</v>
      </c>
      <c r="L60" s="40">
        <f t="shared" si="24"/>
        <v>889.47773819813347</v>
      </c>
      <c r="M60" s="41">
        <f>COS(RADIANS(E60))*COS(RADIANS(G60-Insolation!$L$6))*SIN(RADIANS(0))+(SIN(RADIANS(E60))*COS(RADIANS(0)))</f>
        <v>0.42635101520281665</v>
      </c>
      <c r="N60" s="41">
        <f>COS(RADIANS(E60))*COS(RADIANS(G60-Insolation!$L$6))*SIN(RADIANS(Insolation!$L$7))+SIN(RADIANS(E60))*COS(RADIANS(Insolation!$L$7))</f>
        <v>0.84104536316988443</v>
      </c>
      <c r="O60" s="40">
        <f t="shared" si="25"/>
        <v>379.22973668107937</v>
      </c>
      <c r="P60" s="40">
        <f t="shared" si="26"/>
        <v>49.126997324818092</v>
      </c>
      <c r="Q60" s="40">
        <f t="shared" si="27"/>
        <v>748.09112735437657</v>
      </c>
      <c r="R60" s="40">
        <f>$C$55*L60*((1+COS(RADIANS(Insolation!$L$7)))/2)</f>
        <v>44.830060593914304</v>
      </c>
      <c r="S60" s="40">
        <f t="shared" si="28"/>
        <v>828.89063172251701</v>
      </c>
      <c r="T60" s="40">
        <f t="shared" si="29"/>
        <v>42.382907820057845</v>
      </c>
      <c r="U60" s="40">
        <f t="shared" si="30"/>
        <v>889.47773819813347</v>
      </c>
      <c r="V60" s="40">
        <f t="shared" si="31"/>
        <v>35.036171254060172</v>
      </c>
      <c r="Y60" s="48">
        <v>13.5</v>
      </c>
      <c r="Z60" s="40">
        <f t="shared" si="32"/>
        <v>32.75355583506456</v>
      </c>
      <c r="AA60" s="181">
        <f t="shared" si="14"/>
        <v>-22.5</v>
      </c>
      <c r="AB60" s="40">
        <f t="shared" si="33"/>
        <v>-26.285623222724798</v>
      </c>
      <c r="AC60" s="40">
        <f t="shared" si="34"/>
        <v>-26.285623222724798</v>
      </c>
      <c r="AD60" s="40">
        <f t="shared" si="35"/>
        <v>206.28562322272481</v>
      </c>
      <c r="AE60" s="40">
        <f t="shared" si="102"/>
        <v>-153.71437677727519</v>
      </c>
      <c r="AF60" s="40">
        <f t="shared" si="37"/>
        <v>1.8483377302972597</v>
      </c>
      <c r="AG60" s="40">
        <f t="shared" si="38"/>
        <v>926.82353443612499</v>
      </c>
      <c r="AH60" s="41">
        <f>COS(RADIANS(Z60))*COS(RADIANS(AB60-Insolation!$L$6))*SIN(RADIANS(0))+(SIN(RADIANS(Z60))*COS(RADIANS(0)))</f>
        <v>0.54102666607318273</v>
      </c>
      <c r="AI60" s="41">
        <f>COS(RADIANS(Z60))*COS(RADIANS(AB60-Insolation!$L$6))*SIN(RADIANS(Insolation!$L$7))+SIN(RADIANS(Z60))*COS(RADIANS(Insolation!$L$7))</f>
        <v>0.89328320642224202</v>
      </c>
      <c r="AJ60" s="40">
        <f t="shared" si="39"/>
        <v>501.43624687414035</v>
      </c>
      <c r="AK60" s="40">
        <f t="shared" si="40"/>
        <v>58.339423127366565</v>
      </c>
      <c r="AL60" s="40">
        <f t="shared" si="41"/>
        <v>827.91589862869694</v>
      </c>
      <c r="AM60" s="40">
        <f>$X$55*AG60*((1+COS(RADIANS(Insolation!$L$7)))/2)</f>
        <v>53.236713339543243</v>
      </c>
      <c r="AN60" s="40">
        <f t="shared" si="42"/>
        <v>902.00541957774055</v>
      </c>
      <c r="AO60" s="40">
        <f t="shared" si="43"/>
        <v>50.167745577444563</v>
      </c>
      <c r="AP60" s="40">
        <f t="shared" si="44"/>
        <v>926.82353443612499</v>
      </c>
      <c r="AQ60" s="40">
        <f t="shared" si="45"/>
        <v>44.951303361299217</v>
      </c>
      <c r="AT60" s="48">
        <v>13.5</v>
      </c>
      <c r="AU60" s="40">
        <f t="shared" si="46"/>
        <v>42.474720636714864</v>
      </c>
      <c r="AV60" s="181">
        <f t="shared" si="15"/>
        <v>-22.5</v>
      </c>
      <c r="AW60" s="40">
        <f t="shared" si="47"/>
        <v>-31.212391147994975</v>
      </c>
      <c r="AX60" s="40">
        <f t="shared" si="48"/>
        <v>-31.212391147994975</v>
      </c>
      <c r="AY60" s="40">
        <f t="shared" si="49"/>
        <v>211.21239114799496</v>
      </c>
      <c r="AZ60" s="40">
        <f t="shared" si="103"/>
        <v>-148.78760885200504</v>
      </c>
      <c r="BA60" s="40">
        <f t="shared" si="51"/>
        <v>1.4809004219646535</v>
      </c>
      <c r="BB60" s="40">
        <f t="shared" si="52"/>
        <v>935.39774026181908</v>
      </c>
      <c r="BC60" s="41">
        <f>COS(RADIANS(AU60))*COS(RADIANS(AW60-Insolation!$L$6))*SIN(RADIANS(0))+(SIN(RADIANS(AU60))*COS(RADIANS(0)))</f>
        <v>0.67526484912019846</v>
      </c>
      <c r="BD60" s="41">
        <f>COS(RADIANS(AU60))*COS(RADIANS(AW60-Insolation!$L$6))*SIN(RADIANS(Insolation!$L$7))+SIN(RADIANS(AU60))*COS(RADIANS(Insolation!$L$7))</f>
        <v>0.93546282310170159</v>
      </c>
      <c r="BE60" s="40">
        <f t="shared" si="53"/>
        <v>631.64121394527183</v>
      </c>
      <c r="BF60" s="40">
        <f t="shared" si="54"/>
        <v>72.670092872387087</v>
      </c>
      <c r="BG60" s="40">
        <f t="shared" si="55"/>
        <v>875.02981082827353</v>
      </c>
      <c r="BH60" s="40">
        <f>$AS$55*BB60*((1+COS(RADIANS(Insolation!$L$7)))/2)</f>
        <v>66.313938246510901</v>
      </c>
      <c r="BI60" s="40">
        <f t="shared" si="56"/>
        <v>934.2658971963466</v>
      </c>
      <c r="BJ60" s="40">
        <f t="shared" si="57"/>
        <v>62.159123005645633</v>
      </c>
      <c r="BK60" s="40">
        <f t="shared" si="58"/>
        <v>935.39774026181908</v>
      </c>
      <c r="BL60" s="40">
        <f t="shared" si="59"/>
        <v>60.870826085705183</v>
      </c>
      <c r="BO60" s="48">
        <v>13.5</v>
      </c>
      <c r="BP60" s="40">
        <f t="shared" si="60"/>
        <v>53.451025549527749</v>
      </c>
      <c r="BQ60" s="181">
        <f t="shared" si="16"/>
        <v>-22.5</v>
      </c>
      <c r="BR60" s="40">
        <f t="shared" si="61"/>
        <v>-39.342798408703011</v>
      </c>
      <c r="BS60" s="40">
        <f t="shared" si="62"/>
        <v>-39.342798408703011</v>
      </c>
      <c r="BT60" s="40">
        <f t="shared" si="63"/>
        <v>219.342798408703</v>
      </c>
      <c r="BU60" s="40">
        <f t="shared" si="104"/>
        <v>-140.657201591297</v>
      </c>
      <c r="BV60" s="40">
        <f t="shared" si="65"/>
        <v>1.2447903453379696</v>
      </c>
      <c r="BW60" s="40">
        <f t="shared" si="66"/>
        <v>917.75922005434666</v>
      </c>
      <c r="BX60" s="41">
        <f>COS(RADIANS(BP60))*COS(RADIANS(BR60-Insolation!$L$6))*SIN(RADIANS(0))+(SIN(RADIANS(BP60))*COS(RADIANS(0)))</f>
        <v>0.80334813307737596</v>
      </c>
      <c r="BY60" s="41">
        <f>COS(RADIANS(BP60))*COS(RADIANS(BR60-Insolation!$L$6))*SIN(RADIANS(Insolation!$L$7))+SIN(RADIANS(BP60))*COS(RADIANS(Insolation!$L$7))</f>
        <v>0.94524057111988646</v>
      </c>
      <c r="BZ60" s="40">
        <f t="shared" si="67"/>
        <v>737.28015604520806</v>
      </c>
      <c r="CA60" s="40">
        <f t="shared" si="68"/>
        <v>90.342925370819245</v>
      </c>
      <c r="CB60" s="40">
        <f t="shared" si="69"/>
        <v>867.50324931471221</v>
      </c>
      <c r="CC60" s="40">
        <f>$BN$55*BW60*((1+COS(RADIANS(Insolation!$L$7)))/2)</f>
        <v>82.441000654425835</v>
      </c>
      <c r="CD60" s="40">
        <f t="shared" si="70"/>
        <v>905.39670386151693</v>
      </c>
      <c r="CE60" s="40">
        <f t="shared" si="71"/>
        <v>76.570682430191482</v>
      </c>
      <c r="CF60" s="40">
        <f t="shared" si="72"/>
        <v>917.75922005434666</v>
      </c>
      <c r="CG60" s="40">
        <f t="shared" si="73"/>
        <v>81.45987290210779</v>
      </c>
      <c r="CJ60" s="48">
        <v>13.5</v>
      </c>
      <c r="CK60" s="40">
        <f t="shared" si="74"/>
        <v>61.290847121046916</v>
      </c>
      <c r="CL60" s="181">
        <f t="shared" si="17"/>
        <v>-22.5</v>
      </c>
      <c r="CM60" s="40">
        <f t="shared" si="75"/>
        <v>-48.95445289590478</v>
      </c>
      <c r="CN60" s="40">
        <f t="shared" si="76"/>
        <v>-48.95445289590478</v>
      </c>
      <c r="CO60" s="40">
        <f t="shared" si="77"/>
        <v>228.95445289590478</v>
      </c>
      <c r="CP60" s="40">
        <f t="shared" si="105"/>
        <v>-131.04554710409522</v>
      </c>
      <c r="CQ60" s="40">
        <f t="shared" si="79"/>
        <v>1.1401605812110345</v>
      </c>
      <c r="CR60" s="40">
        <f t="shared" si="80"/>
        <v>889.81925545693537</v>
      </c>
      <c r="CS60" s="41">
        <f>COS(RADIANS(CK60))*COS(RADIANS(CM60-Insolation!$L$6))*SIN(RADIANS(0))+(SIN(RADIANS(CK60))*COS(RADIANS(0)))</f>
        <v>0.87706943783115066</v>
      </c>
      <c r="CT60" s="41">
        <f>COS(RADIANS(CK60))*COS(RADIANS(CM60-Insolation!$L$6))*SIN(RADIANS(Insolation!$L$7))+SIN(RADIANS(CK60))*COS(RADIANS(Insolation!$L$7))</f>
        <v>0.92362331091395278</v>
      </c>
      <c r="CU60" s="40">
        <f t="shared" si="81"/>
        <v>780.4332741549473</v>
      </c>
      <c r="CV60" s="40">
        <f t="shared" si="82"/>
        <v>104.70331466237286</v>
      </c>
      <c r="CW60" s="40">
        <f t="shared" si="83"/>
        <v>821.85780684012298</v>
      </c>
      <c r="CX60" s="40">
        <f>$CI$55*CR60*((1+COS(RADIANS(Insolation!$L$7)))/2)</f>
        <v>95.545345661225625</v>
      </c>
      <c r="CY60" s="40">
        <f t="shared" si="84"/>
        <v>842.38718324823071</v>
      </c>
      <c r="CZ60" s="40">
        <f>$CI$55*CR60*((1+COS(RADIANS(90-CK60+$CI$47)))/2)</f>
        <v>87.719203290451532</v>
      </c>
      <c r="DA60" s="40">
        <f t="shared" si="85"/>
        <v>889.81925545693537</v>
      </c>
      <c r="DB60" s="40">
        <f t="shared" si="86"/>
        <v>98.267695996179143</v>
      </c>
      <c r="DE60" s="48">
        <v>13.5</v>
      </c>
      <c r="DF60" s="40">
        <f t="shared" si="87"/>
        <v>64.735129574250749</v>
      </c>
      <c r="DG60" s="181">
        <f t="shared" si="18"/>
        <v>-22.5</v>
      </c>
      <c r="DH60" s="40">
        <f t="shared" si="88"/>
        <v>-55.428066685818422</v>
      </c>
      <c r="DI60" s="40">
        <f t="shared" si="89"/>
        <v>-55.428066685818422</v>
      </c>
      <c r="DJ60" s="40">
        <f t="shared" si="90"/>
        <v>235.42806668581841</v>
      </c>
      <c r="DK60" s="40">
        <f t="shared" si="106"/>
        <v>-124.57193331418159</v>
      </c>
      <c r="DL60" s="40">
        <f t="shared" si="92"/>
        <v>1.1057734147616138</v>
      </c>
      <c r="DM60" s="40">
        <f t="shared" si="93"/>
        <v>866.987049762119</v>
      </c>
      <c r="DN60" s="41">
        <f>COS(RADIANS(DF60))*COS(RADIANS(DH60-Insolation!$L$6))*SIN(RADIANS(0))+(SIN(RADIANS(DF60))*COS(RADIANS(0)))</f>
        <v>0.90434440424269313</v>
      </c>
      <c r="DO60" s="41">
        <f>COS(RADIANS(DF60))*COS(RADIANS(DH60-Insolation!$L$6))*SIN(RADIANS(Insolation!$L$7))+SIN(RADIANS(DF60))*COS(RADIANS(Insolation!$L$7))</f>
        <v>0.90431299505955032</v>
      </c>
      <c r="DP60" s="40">
        <f t="shared" si="94"/>
        <v>784.05488700325361</v>
      </c>
      <c r="DQ60" s="40">
        <f t="shared" si="95"/>
        <v>113.81853891361123</v>
      </c>
      <c r="DR60" s="40">
        <f t="shared" si="96"/>
        <v>784.02765564822528</v>
      </c>
      <c r="DS60" s="40">
        <f>$DD$55*DM60*((1+COS(RADIANS(Insolation!$L$7)))/2)</f>
        <v>103.86329867610891</v>
      </c>
      <c r="DT60" s="40">
        <f t="shared" si="97"/>
        <v>796.19484556826058</v>
      </c>
      <c r="DU60" s="40">
        <f t="shared" si="98"/>
        <v>94.559479334195018</v>
      </c>
      <c r="DV60" s="40">
        <f t="shared" si="99"/>
        <v>866.987049762119</v>
      </c>
      <c r="DW60" s="40">
        <f t="shared" si="100"/>
        <v>108.37484883960738</v>
      </c>
    </row>
    <row r="61" spans="1:127" x14ac:dyDescent="0.15">
      <c r="D61" s="48">
        <v>14</v>
      </c>
      <c r="E61" s="40">
        <f t="shared" si="12"/>
        <v>22.64690490187699</v>
      </c>
      <c r="F61" s="181">
        <f t="shared" si="13"/>
        <v>-30</v>
      </c>
      <c r="G61" s="40">
        <f t="shared" si="19"/>
        <v>-30.322734633189413</v>
      </c>
      <c r="H61" s="40">
        <f t="shared" si="20"/>
        <v>-30.322734633189413</v>
      </c>
      <c r="I61" s="40">
        <f t="shared" si="21"/>
        <v>210.32273463318941</v>
      </c>
      <c r="J61" s="40">
        <f t="shared" si="22"/>
        <v>-149.67726536681059</v>
      </c>
      <c r="K61" s="40">
        <f t="shared" si="23"/>
        <v>2.5970587386952113</v>
      </c>
      <c r="L61" s="40">
        <f t="shared" si="24"/>
        <v>858.86765986049454</v>
      </c>
      <c r="M61" s="41">
        <f>COS(RADIANS(E61))*COS(RADIANS(G61-Insolation!$L$6))*SIN(RADIANS(0))+(SIN(RADIANS(E61))*COS(RADIANS(0)))</f>
        <v>0.38505097520528558</v>
      </c>
      <c r="N61" s="41">
        <f>COS(RADIANS(E61))*COS(RADIANS(G61-Insolation!$L$6))*SIN(RADIANS(Insolation!$L$7))+SIN(RADIANS(E61))*COS(RADIANS(Insolation!$L$7))</f>
        <v>0.79441142973150169</v>
      </c>
      <c r="O61" s="40">
        <f t="shared" si="25"/>
        <v>330.70783000156496</v>
      </c>
      <c r="P61" s="40">
        <f t="shared" si="26"/>
        <v>47.436363403330688</v>
      </c>
      <c r="Q61" s="40">
        <f t="shared" si="27"/>
        <v>682.29428561992461</v>
      </c>
      <c r="R61" s="40">
        <f>$C$55*L61*((1+COS(RADIANS(Insolation!$L$7)))/2)</f>
        <v>43.287299479464536</v>
      </c>
      <c r="S61" s="40">
        <f t="shared" si="28"/>
        <v>800.36557023895523</v>
      </c>
      <c r="T61" s="40">
        <f t="shared" si="29"/>
        <v>40.169297050452705</v>
      </c>
      <c r="U61" s="40">
        <f t="shared" si="30"/>
        <v>858.86765986049454</v>
      </c>
      <c r="V61" s="40">
        <f t="shared" si="31"/>
        <v>32.850890695987744</v>
      </c>
      <c r="Y61" s="48">
        <v>14</v>
      </c>
      <c r="Z61" s="40">
        <f t="shared" si="32"/>
        <v>29.86080431422921</v>
      </c>
      <c r="AA61" s="181">
        <f t="shared" si="14"/>
        <v>-30</v>
      </c>
      <c r="AB61" s="40">
        <f t="shared" si="33"/>
        <v>-34.132239741123755</v>
      </c>
      <c r="AC61" s="40">
        <f t="shared" si="34"/>
        <v>-34.132239741123755</v>
      </c>
      <c r="AD61" s="40">
        <f t="shared" si="35"/>
        <v>214.13223974112375</v>
      </c>
      <c r="AE61" s="40">
        <f t="shared" si="102"/>
        <v>-145.86776025887625</v>
      </c>
      <c r="AF61" s="40">
        <f t="shared" si="37"/>
        <v>2.0084572741791122</v>
      </c>
      <c r="AG61" s="40">
        <f t="shared" si="38"/>
        <v>905.41496170981304</v>
      </c>
      <c r="AH61" s="41">
        <f>COS(RADIANS(Z61))*COS(RADIANS(AB61-Insolation!$L$6))*SIN(RADIANS(0))+(SIN(RADIANS(Z61))*COS(RADIANS(0)))</f>
        <v>0.49789458449332236</v>
      </c>
      <c r="AI61" s="41">
        <f>COS(RADIANS(Z61))*COS(RADIANS(AB61-Insolation!$L$6))*SIN(RADIANS(Insolation!$L$7))+SIN(RADIANS(Z61))*COS(RADIANS(Insolation!$L$7))</f>
        <v>0.84458062352948093</v>
      </c>
      <c r="AJ61" s="40">
        <f t="shared" si="39"/>
        <v>450.80120615454473</v>
      </c>
      <c r="AK61" s="40">
        <f t="shared" si="40"/>
        <v>56.991848603815896</v>
      </c>
      <c r="AL61" s="40">
        <f t="shared" si="41"/>
        <v>764.69593291379499</v>
      </c>
      <c r="AM61" s="40">
        <f>$X$55*AG61*((1+COS(RADIANS(Insolation!$L$7)))/2)</f>
        <v>52.007005626161934</v>
      </c>
      <c r="AN61" s="40">
        <f t="shared" si="42"/>
        <v>881.17011716355864</v>
      </c>
      <c r="AO61" s="40">
        <f t="shared" si="43"/>
        <v>47.984577511838275</v>
      </c>
      <c r="AP61" s="40">
        <f t="shared" si="44"/>
        <v>905.41496170981304</v>
      </c>
      <c r="AQ61" s="40">
        <f t="shared" si="45"/>
        <v>42.683890691959576</v>
      </c>
      <c r="AT61" s="48">
        <v>14</v>
      </c>
      <c r="AU61" s="40">
        <f t="shared" si="46"/>
        <v>39.123912850117364</v>
      </c>
      <c r="AV61" s="181">
        <f t="shared" si="15"/>
        <v>-30</v>
      </c>
      <c r="AW61" s="40">
        <f t="shared" si="47"/>
        <v>-40.070533913244866</v>
      </c>
      <c r="AX61" s="40">
        <f t="shared" si="48"/>
        <v>-40.070533913244866</v>
      </c>
      <c r="AY61" s="40">
        <f t="shared" si="49"/>
        <v>220.07053391324487</v>
      </c>
      <c r="AZ61" s="40">
        <f t="shared" si="103"/>
        <v>-139.92946608675513</v>
      </c>
      <c r="BA61" s="40">
        <f t="shared" si="51"/>
        <v>1.5847869539073469</v>
      </c>
      <c r="BB61" s="40">
        <f t="shared" si="52"/>
        <v>920.0878525366968</v>
      </c>
      <c r="BC61" s="41">
        <f>COS(RADIANS(AU61))*COS(RADIANS(AW61-Insolation!$L$6))*SIN(RADIANS(0))+(SIN(RADIANS(AU61))*COS(RADIANS(0)))</f>
        <v>0.63099964164550038</v>
      </c>
      <c r="BD61" s="41">
        <f>COS(RADIANS(AU61))*COS(RADIANS(AW61-Insolation!$L$6))*SIN(RADIANS(Insolation!$L$7))+SIN(RADIANS(AU61))*COS(RADIANS(Insolation!$L$7))</f>
        <v>0.88548077128929004</v>
      </c>
      <c r="BE61" s="40">
        <f t="shared" si="53"/>
        <v>580.5751052330337</v>
      </c>
      <c r="BF61" s="40">
        <f t="shared" si="54"/>
        <v>71.480683367785289</v>
      </c>
      <c r="BG61" s="40">
        <f t="shared" si="55"/>
        <v>814.72010131810089</v>
      </c>
      <c r="BH61" s="40">
        <f>$AS$55*BB61*((1+COS(RADIANS(Insolation!$L$7)))/2)</f>
        <v>65.228561507327626</v>
      </c>
      <c r="BI61" s="40">
        <f t="shared" si="56"/>
        <v>918.97453462850126</v>
      </c>
      <c r="BJ61" s="40">
        <f t="shared" si="57"/>
        <v>59.628766480675935</v>
      </c>
      <c r="BK61" s="40">
        <f t="shared" si="58"/>
        <v>920.0878525366968</v>
      </c>
      <c r="BL61" s="40">
        <f t="shared" si="59"/>
        <v>58.292484478716645</v>
      </c>
      <c r="BO61" s="48">
        <v>14</v>
      </c>
      <c r="BP61" s="40">
        <f t="shared" si="60"/>
        <v>49.431263369026283</v>
      </c>
      <c r="BQ61" s="181">
        <f t="shared" si="16"/>
        <v>-30</v>
      </c>
      <c r="BR61" s="40">
        <f t="shared" si="61"/>
        <v>-49.327665821251074</v>
      </c>
      <c r="BS61" s="40">
        <f t="shared" si="62"/>
        <v>-49.327665821251074</v>
      </c>
      <c r="BT61" s="40">
        <f t="shared" si="63"/>
        <v>229.32766582125106</v>
      </c>
      <c r="BU61" s="40">
        <f t="shared" si="104"/>
        <v>-130.67233417874894</v>
      </c>
      <c r="BV61" s="40">
        <f t="shared" si="65"/>
        <v>1.3164367995929396</v>
      </c>
      <c r="BW61" s="40">
        <f t="shared" si="66"/>
        <v>906.19364381360026</v>
      </c>
      <c r="BX61" s="41">
        <f>COS(RADIANS(BP61))*COS(RADIANS(BR61-Insolation!$L$6))*SIN(RADIANS(0))+(SIN(RADIANS(BP61))*COS(RADIANS(0)))</f>
        <v>0.75962628840914648</v>
      </c>
      <c r="BY61" s="41">
        <f>COS(RADIANS(BP61))*COS(RADIANS(BR61-Insolation!$L$6))*SIN(RADIANS(Insolation!$L$7))+SIN(RADIANS(BP61))*COS(RADIANS(Insolation!$L$7))</f>
        <v>0.89587205733192377</v>
      </c>
      <c r="BZ61" s="40">
        <f t="shared" si="67"/>
        <v>688.36851423008522</v>
      </c>
      <c r="CA61" s="40">
        <f t="shared" si="68"/>
        <v>89.204426330595609</v>
      </c>
      <c r="CB61" s="40">
        <f t="shared" si="69"/>
        <v>811.83356402440256</v>
      </c>
      <c r="CC61" s="40">
        <f>$BN$55*BW61*((1+COS(RADIANS(Insolation!$L$7)))/2)</f>
        <v>81.402081450349939</v>
      </c>
      <c r="CD61" s="40">
        <f t="shared" si="70"/>
        <v>893.9869197070077</v>
      </c>
      <c r="CE61" s="40">
        <f t="shared" si="71"/>
        <v>73.281723941942673</v>
      </c>
      <c r="CF61" s="40">
        <f t="shared" si="72"/>
        <v>906.19364381360026</v>
      </c>
      <c r="CG61" s="40">
        <f t="shared" si="73"/>
        <v>78.483226806886549</v>
      </c>
      <c r="CJ61" s="48">
        <v>14</v>
      </c>
      <c r="CK61" s="40">
        <f t="shared" si="74"/>
        <v>56.627609716549912</v>
      </c>
      <c r="CL61" s="181">
        <f t="shared" si="17"/>
        <v>-30</v>
      </c>
      <c r="CM61" s="40">
        <f t="shared" si="75"/>
        <v>-59.373773241959441</v>
      </c>
      <c r="CN61" s="40">
        <f t="shared" si="76"/>
        <v>-59.373773241959441</v>
      </c>
      <c r="CO61" s="40">
        <f t="shared" si="77"/>
        <v>239.37377324195944</v>
      </c>
      <c r="CP61" s="40">
        <f t="shared" si="105"/>
        <v>-120.62622675804056</v>
      </c>
      <c r="CQ61" s="40">
        <f t="shared" si="79"/>
        <v>1.1974426950601886</v>
      </c>
      <c r="CR61" s="40">
        <f t="shared" si="80"/>
        <v>879.99401378106552</v>
      </c>
      <c r="CS61" s="41">
        <f>COS(RADIANS(CK61))*COS(RADIANS(CM61-Insolation!$L$6))*SIN(RADIANS(0))+(SIN(RADIANS(CK61))*COS(RADIANS(0)))</f>
        <v>0.83511303223553057</v>
      </c>
      <c r="CT61" s="41">
        <f>COS(RADIANS(CK61))*COS(RADIANS(CM61-Insolation!$L$6))*SIN(RADIANS(Insolation!$L$7))+SIN(RADIANS(CK61))*COS(RADIANS(Insolation!$L$7))</f>
        <v>0.87624824236736276</v>
      </c>
      <c r="CU61" s="40">
        <f t="shared" si="81"/>
        <v>734.89446919782085</v>
      </c>
      <c r="CV61" s="40">
        <f t="shared" si="82"/>
        <v>103.54719743461722</v>
      </c>
      <c r="CW61" s="40">
        <f t="shared" si="83"/>
        <v>771.09320786945943</v>
      </c>
      <c r="CX61" s="40">
        <f>$CI$55*CR61*((1+COS(RADIANS(Insolation!$L$7)))/2)</f>
        <v>94.490349260137407</v>
      </c>
      <c r="CY61" s="40">
        <f t="shared" si="84"/>
        <v>833.08567891539974</v>
      </c>
      <c r="CZ61" s="40">
        <f t="shared" si="101"/>
        <v>83.531480624169873</v>
      </c>
      <c r="DA61" s="40">
        <f t="shared" si="85"/>
        <v>879.99401378106552</v>
      </c>
      <c r="DB61" s="40">
        <f t="shared" si="86"/>
        <v>95.010405731865788</v>
      </c>
      <c r="DE61" s="48">
        <v>14</v>
      </c>
      <c r="DF61" s="40">
        <f t="shared" si="87"/>
        <v>59.728265461819312</v>
      </c>
      <c r="DG61" s="181">
        <f t="shared" si="18"/>
        <v>-30</v>
      </c>
      <c r="DH61" s="40">
        <f t="shared" si="88"/>
        <v>-65.626514636477467</v>
      </c>
      <c r="DI61" s="40">
        <f t="shared" si="89"/>
        <v>-65.626514636477467</v>
      </c>
      <c r="DJ61" s="40">
        <f t="shared" si="90"/>
        <v>245.62651463647745</v>
      </c>
      <c r="DK61" s="40">
        <f t="shared" si="106"/>
        <v>-114.37348536352255</v>
      </c>
      <c r="DL61" s="40">
        <f t="shared" si="92"/>
        <v>1.1578840404384321</v>
      </c>
      <c r="DM61" s="40">
        <f t="shared" si="93"/>
        <v>857.74127863150204</v>
      </c>
      <c r="DN61" s="41">
        <f>COS(RADIANS(DF61))*COS(RADIANS(DH61-Insolation!$L$6))*SIN(RADIANS(0))+(SIN(RADIANS(DF61))*COS(RADIANS(0)))</f>
        <v>0.86364434181280414</v>
      </c>
      <c r="DO61" s="41">
        <f>COS(RADIANS(DF61))*COS(RADIANS(DH61-Insolation!$L$6))*SIN(RADIANS(Insolation!$L$7))+SIN(RADIANS(DF61))*COS(RADIANS(Insolation!$L$7))</f>
        <v>0.85835652619397673</v>
      </c>
      <c r="DP61" s="40">
        <f t="shared" si="94"/>
        <v>740.78340202937659</v>
      </c>
      <c r="DQ61" s="40">
        <f t="shared" si="95"/>
        <v>112.60474897118337</v>
      </c>
      <c r="DR61" s="40">
        <f t="shared" si="96"/>
        <v>736.24782429931599</v>
      </c>
      <c r="DS61" s="40">
        <f>$DD$55*DM61*((1+COS(RADIANS(Insolation!$L$7)))/2)</f>
        <v>102.75567395588536</v>
      </c>
      <c r="DT61" s="40">
        <f t="shared" si="97"/>
        <v>787.70402056744786</v>
      </c>
      <c r="DU61" s="40">
        <f t="shared" si="98"/>
        <v>89.724224771621593</v>
      </c>
      <c r="DV61" s="40">
        <f t="shared" si="99"/>
        <v>857.74127863150204</v>
      </c>
      <c r="DW61" s="40">
        <f t="shared" si="100"/>
        <v>104.92760164069853</v>
      </c>
    </row>
    <row r="62" spans="1:127" x14ac:dyDescent="0.15">
      <c r="D62" s="48">
        <v>14.5</v>
      </c>
      <c r="E62" s="40">
        <f t="shared" si="12"/>
        <v>19.461472975519321</v>
      </c>
      <c r="F62" s="181">
        <f t="shared" si="13"/>
        <v>-37.5</v>
      </c>
      <c r="G62" s="40">
        <f t="shared" si="19"/>
        <v>-36.989702189702015</v>
      </c>
      <c r="H62" s="40">
        <f t="shared" si="20"/>
        <v>-36.989702189702015</v>
      </c>
      <c r="I62" s="40">
        <f t="shared" si="21"/>
        <v>216.98970218970203</v>
      </c>
      <c r="J62" s="40">
        <f t="shared" si="22"/>
        <v>-143.01029781029797</v>
      </c>
      <c r="K62" s="40">
        <f t="shared" si="23"/>
        <v>3.0014443286935921</v>
      </c>
      <c r="L62" s="40">
        <f t="shared" si="24"/>
        <v>811.85634805582038</v>
      </c>
      <c r="M62" s="41">
        <f>COS(RADIANS(E62))*COS(RADIANS(G62-Insolation!$L$6))*SIN(RADIANS(0))+(SIN(RADIANS(E62))*COS(RADIANS(0)))</f>
        <v>0.3331729295926204</v>
      </c>
      <c r="N62" s="41">
        <f>COS(RADIANS(E62))*COS(RADIANS(G62-Insolation!$L$6))*SIN(RADIANS(Insolation!$L$7))+SIN(RADIANS(E62))*COS(RADIANS(Insolation!$L$7))</f>
        <v>0.73356289789983142</v>
      </c>
      <c r="O62" s="40">
        <f t="shared" si="25"/>
        <v>270.48855789012379</v>
      </c>
      <c r="P62" s="40">
        <f t="shared" si="26"/>
        <v>44.839868302797925</v>
      </c>
      <c r="Q62" s="40">
        <f t="shared" si="27"/>
        <v>595.54769535820174</v>
      </c>
      <c r="R62" s="40">
        <f>$C$55*L62*((1+COS(RADIANS(Insolation!$L$7)))/2)</f>
        <v>40.917909143656615</v>
      </c>
      <c r="S62" s="40">
        <f t="shared" si="28"/>
        <v>756.55645139712931</v>
      </c>
      <c r="T62" s="40">
        <f t="shared" si="29"/>
        <v>37.049115971807375</v>
      </c>
      <c r="U62" s="40">
        <f t="shared" si="30"/>
        <v>811.85634805582038</v>
      </c>
      <c r="V62" s="40">
        <f t="shared" si="31"/>
        <v>29.889649293894195</v>
      </c>
      <c r="Y62" s="48">
        <v>14.5</v>
      </c>
      <c r="Z62" s="40">
        <f t="shared" si="32"/>
        <v>26.341170999848089</v>
      </c>
      <c r="AA62" s="181">
        <f t="shared" si="14"/>
        <v>-37.5</v>
      </c>
      <c r="AB62" s="40">
        <f t="shared" si="33"/>
        <v>-41.38413513397802</v>
      </c>
      <c r="AC62" s="40">
        <f t="shared" si="34"/>
        <v>-41.38413513397802</v>
      </c>
      <c r="AD62" s="40">
        <f t="shared" si="35"/>
        <v>221.38413513397802</v>
      </c>
      <c r="AE62" s="40">
        <f t="shared" si="102"/>
        <v>-138.61586486602198</v>
      </c>
      <c r="AF62" s="40">
        <f t="shared" si="37"/>
        <v>2.2536975414304368</v>
      </c>
      <c r="AG62" s="40">
        <f t="shared" si="38"/>
        <v>873.58022070136622</v>
      </c>
      <c r="AH62" s="41">
        <f>COS(RADIANS(Z62))*COS(RADIANS(AB62-Insolation!$L$6))*SIN(RADIANS(0))+(SIN(RADIANS(Z62))*COS(RADIANS(0)))</f>
        <v>0.44371526418992913</v>
      </c>
      <c r="AI62" s="41">
        <f>COS(RADIANS(Z62))*COS(RADIANS(AB62-Insolation!$L$6))*SIN(RADIANS(Insolation!$L$7))+SIN(RADIANS(Z62))*COS(RADIANS(Insolation!$L$7))</f>
        <v>0.78103289236178175</v>
      </c>
      <c r="AJ62" s="40">
        <f t="shared" si="39"/>
        <v>387.62087841960329</v>
      </c>
      <c r="AK62" s="40">
        <f t="shared" si="40"/>
        <v>54.98799311586496</v>
      </c>
      <c r="AL62" s="40">
        <f t="shared" si="41"/>
        <v>682.29488648443169</v>
      </c>
      <c r="AM62" s="40">
        <f>$X$55*AG62*((1+COS(RADIANS(Insolation!$L$7)))/2)</f>
        <v>50.178419149517943</v>
      </c>
      <c r="AN62" s="40">
        <f t="shared" si="42"/>
        <v>850.18783428708537</v>
      </c>
      <c r="AO62" s="40">
        <f t="shared" si="43"/>
        <v>45.030540227725858</v>
      </c>
      <c r="AP62" s="40">
        <f t="shared" si="44"/>
        <v>873.58022070136622</v>
      </c>
      <c r="AQ62" s="40">
        <f t="shared" si="45"/>
        <v>39.693502504272494</v>
      </c>
      <c r="AT62" s="48">
        <v>14.5</v>
      </c>
      <c r="AU62" s="40">
        <f t="shared" si="46"/>
        <v>35.127437175376805</v>
      </c>
      <c r="AV62" s="181">
        <f t="shared" si="15"/>
        <v>-37.5</v>
      </c>
      <c r="AW62" s="40">
        <f t="shared" si="47"/>
        <v>-48.023644180514275</v>
      </c>
      <c r="AX62" s="40">
        <f t="shared" si="48"/>
        <v>-48.023644180514275</v>
      </c>
      <c r="AY62" s="40">
        <f t="shared" si="49"/>
        <v>228.02364418051428</v>
      </c>
      <c r="AZ62" s="40">
        <f t="shared" si="103"/>
        <v>-131.97635581948572</v>
      </c>
      <c r="BA62" s="40">
        <f t="shared" si="51"/>
        <v>1.737930589641439</v>
      </c>
      <c r="BB62" s="40">
        <f t="shared" si="52"/>
        <v>897.97466366576805</v>
      </c>
      <c r="BC62" s="41">
        <f>COS(RADIANS(AU62))*COS(RADIANS(AW62-Insolation!$L$6))*SIN(RADIANS(0))+(SIN(RADIANS(AU62))*COS(RADIANS(0)))</f>
        <v>0.57539697267559742</v>
      </c>
      <c r="BD62" s="41">
        <f>COS(RADIANS(AU62))*COS(RADIANS(AW62-Insolation!$L$6))*SIN(RADIANS(Insolation!$L$7))+SIN(RADIANS(AU62))*COS(RADIANS(Insolation!$L$7))</f>
        <v>0.8202635732860758</v>
      </c>
      <c r="BE62" s="40">
        <f t="shared" si="53"/>
        <v>516.69190301267076</v>
      </c>
      <c r="BF62" s="40">
        <f t="shared" si="54"/>
        <v>69.762732361718889</v>
      </c>
      <c r="BG62" s="40">
        <f t="shared" si="55"/>
        <v>736.57590633884502</v>
      </c>
      <c r="BH62" s="40">
        <f>$AS$55*BB62*((1+COS(RADIANS(Insolation!$L$7)))/2)</f>
        <v>63.660872621517676</v>
      </c>
      <c r="BI62" s="40">
        <f t="shared" si="56"/>
        <v>896.88810299505747</v>
      </c>
      <c r="BJ62" s="40">
        <f t="shared" si="57"/>
        <v>56.330715851727355</v>
      </c>
      <c r="BK62" s="40">
        <f t="shared" si="58"/>
        <v>897.97466366576805</v>
      </c>
      <c r="BL62" s="40">
        <f t="shared" si="59"/>
        <v>54.951998684114933</v>
      </c>
      <c r="BO62" s="48">
        <v>14.5</v>
      </c>
      <c r="BP62" s="40">
        <f t="shared" si="60"/>
        <v>44.805809361079106</v>
      </c>
      <c r="BQ62" s="181">
        <f t="shared" si="16"/>
        <v>-37.5</v>
      </c>
      <c r="BR62" s="40">
        <f t="shared" si="61"/>
        <v>-57.828466219471395</v>
      </c>
      <c r="BS62" s="40">
        <f t="shared" si="62"/>
        <v>-57.828466219471395</v>
      </c>
      <c r="BT62" s="40">
        <f t="shared" si="63"/>
        <v>237.82846621947141</v>
      </c>
      <c r="BU62" s="40">
        <f t="shared" si="104"/>
        <v>-122.17153378052859</v>
      </c>
      <c r="BV62" s="40">
        <f t="shared" si="65"/>
        <v>1.4190311776108613</v>
      </c>
      <c r="BW62" s="40">
        <f t="shared" si="66"/>
        <v>889.88559867222739</v>
      </c>
      <c r="BX62" s="41">
        <f>COS(RADIANS(BP62))*COS(RADIANS(BR62-Insolation!$L$6))*SIN(RADIANS(0))+(SIN(RADIANS(BP62))*COS(RADIANS(0)))</f>
        <v>0.70470615147698212</v>
      </c>
      <c r="BY62" s="41">
        <f>COS(RADIANS(BP62))*COS(RADIANS(BR62-Insolation!$L$6))*SIN(RADIANS(Insolation!$L$7))+SIN(RADIANS(BP62))*COS(RADIANS(Insolation!$L$7))</f>
        <v>0.83145541131431355</v>
      </c>
      <c r="BZ62" s="40">
        <f t="shared" si="67"/>
        <v>627.10785549509558</v>
      </c>
      <c r="CA62" s="40">
        <f t="shared" si="68"/>
        <v>87.599085329430011</v>
      </c>
      <c r="CB62" s="40">
        <f t="shared" si="69"/>
        <v>739.900196466701</v>
      </c>
      <c r="CC62" s="40">
        <f>$BN$55*BW62*((1+COS(RADIANS(Insolation!$L$7)))/2)</f>
        <v>79.937153034710903</v>
      </c>
      <c r="CD62" s="40">
        <f t="shared" si="70"/>
        <v>877.89854925560599</v>
      </c>
      <c r="CE62" s="40">
        <f t="shared" si="71"/>
        <v>69.166132343057328</v>
      </c>
      <c r="CF62" s="40">
        <f t="shared" si="72"/>
        <v>889.88559867222739</v>
      </c>
      <c r="CG62" s="40">
        <f t="shared" si="73"/>
        <v>74.665349812418185</v>
      </c>
      <c r="CJ62" s="48">
        <v>14.5</v>
      </c>
      <c r="CK62" s="40">
        <f t="shared" si="74"/>
        <v>51.48181225638448</v>
      </c>
      <c r="CL62" s="181">
        <f t="shared" si="17"/>
        <v>-37.5</v>
      </c>
      <c r="CM62" s="40">
        <f t="shared" si="75"/>
        <v>-67.730281954853325</v>
      </c>
      <c r="CN62" s="40">
        <f t="shared" si="76"/>
        <v>-67.730281954853325</v>
      </c>
      <c r="CO62" s="40">
        <f t="shared" si="77"/>
        <v>247.73028195485333</v>
      </c>
      <c r="CP62" s="40">
        <f t="shared" si="105"/>
        <v>-112.26971804514667</v>
      </c>
      <c r="CQ62" s="40">
        <f t="shared" si="79"/>
        <v>1.2781014424927413</v>
      </c>
      <c r="CR62" s="40">
        <f t="shared" si="80"/>
        <v>866.34278163082433</v>
      </c>
      <c r="CS62" s="41">
        <f>COS(RADIANS(CK62))*COS(RADIANS(CM62-Insolation!$L$6))*SIN(RADIANS(0))+(SIN(RADIANS(CK62))*COS(RADIANS(0)))</f>
        <v>0.78241050886356334</v>
      </c>
      <c r="CT62" s="41">
        <f>COS(RADIANS(CK62))*COS(RADIANS(CM62-Insolation!$L$6))*SIN(RADIANS(Insolation!$L$7))+SIN(RADIANS(CK62))*COS(RADIANS(Insolation!$L$7))</f>
        <v>0.81443266830060235</v>
      </c>
      <c r="CU62" s="40">
        <f t="shared" si="81"/>
        <v>677.83569662604816</v>
      </c>
      <c r="CV62" s="40">
        <f t="shared" si="82"/>
        <v>101.94088329094113</v>
      </c>
      <c r="CW62" s="40">
        <f t="shared" si="83"/>
        <v>705.57786330655836</v>
      </c>
      <c r="CX62" s="40">
        <f>$CI$55*CR62*((1+COS(RADIANS(Insolation!$L$7)))/2)</f>
        <v>93.024532818767369</v>
      </c>
      <c r="CY62" s="40">
        <f t="shared" si="84"/>
        <v>820.16212963459202</v>
      </c>
      <c r="CZ62" s="40">
        <f t="shared" si="101"/>
        <v>78.499164050048932</v>
      </c>
      <c r="DA62" s="40">
        <f t="shared" si="85"/>
        <v>866.34278163082433</v>
      </c>
      <c r="DB62" s="40">
        <f t="shared" si="86"/>
        <v>90.85025083030375</v>
      </c>
      <c r="DE62" s="48">
        <v>14.5</v>
      </c>
      <c r="DF62" s="40">
        <f t="shared" si="87"/>
        <v>54.342872478277215</v>
      </c>
      <c r="DG62" s="181">
        <f t="shared" si="18"/>
        <v>-37.5</v>
      </c>
      <c r="DH62" s="40">
        <f t="shared" si="88"/>
        <v>-73.543699790339659</v>
      </c>
      <c r="DI62" s="40">
        <f t="shared" si="89"/>
        <v>-73.543699790339659</v>
      </c>
      <c r="DJ62" s="40">
        <f t="shared" si="90"/>
        <v>253.54369979033964</v>
      </c>
      <c r="DK62" s="40">
        <f t="shared" si="106"/>
        <v>-106.45630020966036</v>
      </c>
      <c r="DL62" s="40">
        <f t="shared" si="92"/>
        <v>1.2307390212388383</v>
      </c>
      <c r="DM62" s="40">
        <f t="shared" si="93"/>
        <v>844.97997657267513</v>
      </c>
      <c r="DN62" s="41">
        <f>COS(RADIANS(DF62))*COS(RADIANS(DH62-Insolation!$L$6))*SIN(RADIANS(0))+(SIN(RADIANS(DF62))*COS(RADIANS(0)))</f>
        <v>0.81251994349981627</v>
      </c>
      <c r="DO62" s="41">
        <f>COS(RADIANS(DF62))*COS(RADIANS(DH62-Insolation!$L$6))*SIN(RADIANS(Insolation!$L$7))+SIN(RADIANS(DF62))*COS(RADIANS(Insolation!$L$7))</f>
        <v>0.79839195849709022</v>
      </c>
      <c r="DP62" s="40">
        <f t="shared" si="94"/>
        <v>686.5630828233061</v>
      </c>
      <c r="DQ62" s="40">
        <f t="shared" si="95"/>
        <v>110.9294381861267</v>
      </c>
      <c r="DR62" s="40">
        <f t="shared" si="96"/>
        <v>674.62521838668351</v>
      </c>
      <c r="DS62" s="40">
        <f>$DD$55*DM62*((1+COS(RADIANS(Insolation!$L$7)))/2)</f>
        <v>101.22689572604253</v>
      </c>
      <c r="DT62" s="40">
        <f t="shared" si="97"/>
        <v>775.98471873385597</v>
      </c>
      <c r="DU62" s="40">
        <f t="shared" si="98"/>
        <v>84.054775205771293</v>
      </c>
      <c r="DV62" s="40">
        <f t="shared" si="99"/>
        <v>844.97997657267513</v>
      </c>
      <c r="DW62" s="40">
        <f t="shared" si="100"/>
        <v>100.53090951679238</v>
      </c>
    </row>
    <row r="63" spans="1:127" x14ac:dyDescent="0.15">
      <c r="D63" s="48">
        <v>15</v>
      </c>
      <c r="E63" s="40">
        <f t="shared" si="12"/>
        <v>15.759767833313253</v>
      </c>
      <c r="F63" s="181">
        <f t="shared" si="13"/>
        <v>-45</v>
      </c>
      <c r="G63" s="40">
        <f t="shared" si="19"/>
        <v>-43.210428375454541</v>
      </c>
      <c r="H63" s="40">
        <f t="shared" si="20"/>
        <v>-43.210428375454541</v>
      </c>
      <c r="I63" s="40">
        <f t="shared" si="21"/>
        <v>223.21042837545454</v>
      </c>
      <c r="J63" s="40">
        <f t="shared" si="22"/>
        <v>-136.78957162454546</v>
      </c>
      <c r="K63" s="40">
        <f t="shared" si="23"/>
        <v>3.6818237690202578</v>
      </c>
      <c r="L63" s="40">
        <f t="shared" si="24"/>
        <v>738.494002273261</v>
      </c>
      <c r="M63" s="41">
        <f>COS(RADIANS(E63))*COS(RADIANS(G63-Insolation!$L$6))*SIN(RADIANS(0))+(SIN(RADIANS(E63))*COS(RADIANS(0)))</f>
        <v>0.27160452610856561</v>
      </c>
      <c r="N63" s="41">
        <f>COS(RADIANS(E63))*COS(RADIANS(G63-Insolation!$L$6))*SIN(RADIANS(Insolation!$L$7))+SIN(RADIANS(E63))*COS(RADIANS(Insolation!$L$7))</f>
        <v>0.65954090292491396</v>
      </c>
      <c r="O63" s="40">
        <f t="shared" si="25"/>
        <v>200.57831352144703</v>
      </c>
      <c r="P63" s="40">
        <f t="shared" si="26"/>
        <v>40.787971768205445</v>
      </c>
      <c r="Q63" s="40">
        <f t="shared" si="27"/>
        <v>487.06700106394004</v>
      </c>
      <c r="R63" s="40">
        <f>$C$55*L63*((1+COS(RADIANS(Insolation!$L$7)))/2)</f>
        <v>37.220415361062102</v>
      </c>
      <c r="S63" s="40">
        <f t="shared" si="28"/>
        <v>688.19120904318743</v>
      </c>
      <c r="T63" s="40">
        <f t="shared" si="29"/>
        <v>32.67570386663899</v>
      </c>
      <c r="U63" s="40">
        <f t="shared" si="30"/>
        <v>738.494002273261</v>
      </c>
      <c r="V63" s="40">
        <f t="shared" si="31"/>
        <v>25.933084755619216</v>
      </c>
      <c r="Y63" s="48">
        <v>15</v>
      </c>
      <c r="Z63" s="40">
        <f t="shared" si="32"/>
        <v>22.297496227242064</v>
      </c>
      <c r="AA63" s="181">
        <f t="shared" si="14"/>
        <v>-45</v>
      </c>
      <c r="AB63" s="40">
        <f t="shared" si="33"/>
        <v>-48.055096746270891</v>
      </c>
      <c r="AC63" s="40">
        <f t="shared" si="34"/>
        <v>-48.055096746270891</v>
      </c>
      <c r="AD63" s="40">
        <f t="shared" si="35"/>
        <v>228.05509674627089</v>
      </c>
      <c r="AE63" s="40">
        <f t="shared" si="102"/>
        <v>-131.94490325372911</v>
      </c>
      <c r="AF63" s="40">
        <f t="shared" si="37"/>
        <v>2.6356313807450733</v>
      </c>
      <c r="AG63" s="40">
        <f t="shared" si="38"/>
        <v>826.21565059896261</v>
      </c>
      <c r="AH63" s="41">
        <f>COS(RADIANS(Z63))*COS(RADIANS(AB63-Insolation!$L$6))*SIN(RADIANS(0))+(SIN(RADIANS(Z63))*COS(RADIANS(0)))</f>
        <v>0.37941572835473958</v>
      </c>
      <c r="AI63" s="41">
        <f>COS(RADIANS(Z63))*COS(RADIANS(AB63-Insolation!$L$6))*SIN(RADIANS(Insolation!$L$7))+SIN(RADIANS(Z63))*COS(RADIANS(Insolation!$L$7))</f>
        <v>0.70372733221818351</v>
      </c>
      <c r="AJ63" s="40">
        <f t="shared" si="39"/>
        <v>313.47921285009045</v>
      </c>
      <c r="AK63" s="40">
        <f t="shared" si="40"/>
        <v>52.006603893664135</v>
      </c>
      <c r="AL63" s="40">
        <f t="shared" si="41"/>
        <v>581.4305356329188</v>
      </c>
      <c r="AM63" s="40">
        <f>$X$55*AG63*((1+COS(RADIANS(Insolation!$L$7)))/2)</f>
        <v>47.457799800413419</v>
      </c>
      <c r="AN63" s="40">
        <f t="shared" si="42"/>
        <v>804.09157395169109</v>
      </c>
      <c r="AO63" s="40">
        <f t="shared" si="43"/>
        <v>41.135495368754313</v>
      </c>
      <c r="AP63" s="40">
        <f t="shared" si="44"/>
        <v>826.21565059896261</v>
      </c>
      <c r="AQ63" s="40">
        <f t="shared" si="45"/>
        <v>35.869363694617576</v>
      </c>
      <c r="AT63" s="48">
        <v>15</v>
      </c>
      <c r="AU63" s="40">
        <f t="shared" si="46"/>
        <v>30.624419563375305</v>
      </c>
      <c r="AV63" s="181">
        <f t="shared" si="15"/>
        <v>-45</v>
      </c>
      <c r="AW63" s="40">
        <f t="shared" si="47"/>
        <v>-55.157061737737656</v>
      </c>
      <c r="AX63" s="40">
        <f t="shared" si="48"/>
        <v>-55.157061737737656</v>
      </c>
      <c r="AY63" s="40">
        <f t="shared" si="49"/>
        <v>235.15706173773765</v>
      </c>
      <c r="AZ63" s="40">
        <f t="shared" si="103"/>
        <v>-124.84293826226235</v>
      </c>
      <c r="BA63" s="40">
        <f t="shared" si="51"/>
        <v>1.9630621614013093</v>
      </c>
      <c r="BB63" s="40">
        <f t="shared" si="52"/>
        <v>866.42804173105424</v>
      </c>
      <c r="BC63" s="41">
        <f>COS(RADIANS(AU63))*COS(RADIANS(AW63-Insolation!$L$6))*SIN(RADIANS(0))+(SIN(RADIANS(AU63))*COS(RADIANS(0)))</f>
        <v>0.5094082192925371</v>
      </c>
      <c r="BD63" s="41">
        <f>COS(RADIANS(AU63))*COS(RADIANS(AW63-Insolation!$L$6))*SIN(RADIANS(Insolation!$L$7))+SIN(RADIANS(AU63))*COS(RADIANS(Insolation!$L$7))</f>
        <v>0.74092711343151763</v>
      </c>
      <c r="BE63" s="40">
        <f t="shared" si="53"/>
        <v>441.36556588333639</v>
      </c>
      <c r="BF63" s="40">
        <f t="shared" si="54"/>
        <v>67.311907597951489</v>
      </c>
      <c r="BG63" s="40">
        <f t="shared" si="55"/>
        <v>641.96002795591255</v>
      </c>
      <c r="BH63" s="40">
        <f>$AS$55*BB63*((1+COS(RADIANS(Insolation!$L$7)))/2)</f>
        <v>61.42441143626926</v>
      </c>
      <c r="BI63" s="40">
        <f t="shared" si="56"/>
        <v>865.37965287083557</v>
      </c>
      <c r="BJ63" s="40">
        <f t="shared" si="57"/>
        <v>52.204136119290489</v>
      </c>
      <c r="BK63" s="40">
        <f t="shared" si="58"/>
        <v>866.42804173105424</v>
      </c>
      <c r="BL63" s="40">
        <f t="shared" si="59"/>
        <v>50.800573292303881</v>
      </c>
      <c r="BO63" s="48">
        <v>15</v>
      </c>
      <c r="BP63" s="40">
        <f t="shared" si="60"/>
        <v>39.756589498171095</v>
      </c>
      <c r="BQ63" s="181">
        <f t="shared" si="16"/>
        <v>-45</v>
      </c>
      <c r="BR63" s="40">
        <f t="shared" si="61"/>
        <v>-65.148750109879174</v>
      </c>
      <c r="BS63" s="40">
        <f t="shared" si="62"/>
        <v>-65.148750109879174</v>
      </c>
      <c r="BT63" s="40">
        <f t="shared" si="63"/>
        <v>245.14875010987919</v>
      </c>
      <c r="BU63" s="40">
        <f t="shared" si="104"/>
        <v>-114.85124989012081</v>
      </c>
      <c r="BV63" s="40">
        <f t="shared" si="65"/>
        <v>1.5636546097700275</v>
      </c>
      <c r="BW63" s="40">
        <f t="shared" si="66"/>
        <v>867.39398607736837</v>
      </c>
      <c r="BX63" s="41">
        <f>COS(RADIANS(BP63))*COS(RADIANS(BR63-Insolation!$L$6))*SIN(RADIANS(0))+(SIN(RADIANS(BP63))*COS(RADIANS(0)))</f>
        <v>0.63952742105053095</v>
      </c>
      <c r="BY63" s="41">
        <f>COS(RADIANS(BP63))*COS(RADIANS(BR63-Insolation!$L$6))*SIN(RADIANS(Insolation!$L$7))+SIN(RADIANS(BP63))*COS(RADIANS(Insolation!$L$7))</f>
        <v>0.75309281974008568</v>
      </c>
      <c r="BZ63" s="40">
        <f t="shared" si="67"/>
        <v>554.72223895079958</v>
      </c>
      <c r="CA63" s="40">
        <f t="shared" si="68"/>
        <v>85.385042654918493</v>
      </c>
      <c r="CB63" s="40">
        <f t="shared" si="69"/>
        <v>653.22818280059801</v>
      </c>
      <c r="CC63" s="40">
        <f>$BN$55*BW63*((1+COS(RADIANS(Insolation!$L$7)))/2)</f>
        <v>77.916763581644915</v>
      </c>
      <c r="CD63" s="40">
        <f t="shared" si="70"/>
        <v>855.70990602224288</v>
      </c>
      <c r="CE63" s="40">
        <f t="shared" si="71"/>
        <v>64.258896666025535</v>
      </c>
      <c r="CF63" s="40">
        <f t="shared" si="72"/>
        <v>867.39398607736837</v>
      </c>
      <c r="CG63" s="40">
        <f t="shared" si="73"/>
        <v>69.995559390154057</v>
      </c>
      <c r="CJ63" s="48">
        <v>15</v>
      </c>
      <c r="CK63" s="40">
        <f t="shared" si="74"/>
        <v>46.043222007278089</v>
      </c>
      <c r="CL63" s="181">
        <f t="shared" si="17"/>
        <v>-45</v>
      </c>
      <c r="CM63" s="40">
        <f t="shared" si="75"/>
        <v>-74.668739438294423</v>
      </c>
      <c r="CN63" s="40">
        <f t="shared" si="76"/>
        <v>-74.668739438294423</v>
      </c>
      <c r="CO63" s="40">
        <f t="shared" si="77"/>
        <v>254.66873943829444</v>
      </c>
      <c r="CP63" s="40">
        <f t="shared" si="105"/>
        <v>-105.33126056170556</v>
      </c>
      <c r="CQ63" s="40">
        <f t="shared" si="79"/>
        <v>1.3891520126052221</v>
      </c>
      <c r="CR63" s="40">
        <f t="shared" si="80"/>
        <v>847.89364850795175</v>
      </c>
      <c r="CS63" s="41">
        <f>COS(RADIANS(CK63))*COS(RADIANS(CM63-Insolation!$L$6))*SIN(RADIANS(0))+(SIN(RADIANS(CK63))*COS(RADIANS(0)))</f>
        <v>0.71986362250204383</v>
      </c>
      <c r="CT63" s="41">
        <f>COS(RADIANS(CK63))*COS(RADIANS(CM63-Insolation!$L$6))*SIN(RADIANS(Insolation!$L$7))+SIN(RADIANS(CK63))*COS(RADIANS(Insolation!$L$7))</f>
        <v>0.73923427032446831</v>
      </c>
      <c r="CU63" s="40">
        <f t="shared" si="81"/>
        <v>610.36779331140883</v>
      </c>
      <c r="CV63" s="40">
        <f t="shared" si="82"/>
        <v>99.770009398557008</v>
      </c>
      <c r="CW63" s="40">
        <f t="shared" si="83"/>
        <v>626.79204256752689</v>
      </c>
      <c r="CX63" s="40">
        <f>$CI$55*CR63*((1+COS(RADIANS(Insolation!$L$7)))/2)</f>
        <v>91.043536351715588</v>
      </c>
      <c r="CY63" s="40">
        <f t="shared" si="84"/>
        <v>802.69643287714484</v>
      </c>
      <c r="CZ63" s="40">
        <f t="shared" si="101"/>
        <v>72.727056814079916</v>
      </c>
      <c r="DA63" s="40">
        <f t="shared" si="85"/>
        <v>847.89364850795175</v>
      </c>
      <c r="DB63" s="40">
        <f t="shared" si="86"/>
        <v>85.795404890632611</v>
      </c>
      <c r="DE63" s="48">
        <v>15</v>
      </c>
      <c r="DF63" s="40">
        <f t="shared" si="87"/>
        <v>48.750534812115596</v>
      </c>
      <c r="DG63" s="181">
        <f t="shared" si="18"/>
        <v>-45</v>
      </c>
      <c r="DH63" s="40">
        <f t="shared" si="88"/>
        <v>-80.023719021658636</v>
      </c>
      <c r="DI63" s="40">
        <f t="shared" si="89"/>
        <v>-80.023719021658636</v>
      </c>
      <c r="DJ63" s="40">
        <f t="shared" si="90"/>
        <v>260.02371902165862</v>
      </c>
      <c r="DK63" s="40">
        <f t="shared" si="106"/>
        <v>-99.976280978341379</v>
      </c>
      <c r="DL63" s="40">
        <f t="shared" si="92"/>
        <v>1.3300596806142229</v>
      </c>
      <c r="DM63" s="40">
        <f t="shared" si="93"/>
        <v>827.88822692214001</v>
      </c>
      <c r="DN63" s="41">
        <f>COS(RADIANS(DF63))*COS(RADIANS(DH63-Insolation!$L$6))*SIN(RADIANS(0))+(SIN(RADIANS(DF63))*COS(RADIANS(0)))</f>
        <v>0.75184596193322617</v>
      </c>
      <c r="DO63" s="41">
        <f>COS(RADIANS(DF63))*COS(RADIANS(DH63-Insolation!$L$6))*SIN(RADIANS(Insolation!$L$7))+SIN(RADIANS(DF63))*COS(RADIANS(Insolation!$L$7))</f>
        <v>0.72544530234750371</v>
      </c>
      <c r="DP63" s="40">
        <f t="shared" si="94"/>
        <v>622.44442034346935</v>
      </c>
      <c r="DQ63" s="40">
        <f t="shared" si="95"/>
        <v>108.68562384860586</v>
      </c>
      <c r="DR63" s="40">
        <f t="shared" si="96"/>
        <v>600.58762508947063</v>
      </c>
      <c r="DS63" s="40">
        <f>$DD$55*DM63*((1+COS(RADIANS(Insolation!$L$7)))/2)</f>
        <v>99.179338615082344</v>
      </c>
      <c r="DT63" s="40">
        <f t="shared" si="97"/>
        <v>760.28856389828718</v>
      </c>
      <c r="DU63" s="40">
        <f t="shared" si="98"/>
        <v>77.683299597513013</v>
      </c>
      <c r="DV63" s="40">
        <f t="shared" si="99"/>
        <v>827.88822692214001</v>
      </c>
      <c r="DW63" s="40">
        <f t="shared" si="100"/>
        <v>95.200235629686858</v>
      </c>
    </row>
    <row r="64" spans="1:127" x14ac:dyDescent="0.15">
      <c r="D64" s="48">
        <v>15.5</v>
      </c>
      <c r="E64" s="40">
        <f t="shared" si="12"/>
        <v>11.618793378405703</v>
      </c>
      <c r="F64" s="181">
        <f t="shared" si="13"/>
        <v>-52.5</v>
      </c>
      <c r="G64" s="40">
        <f t="shared" si="19"/>
        <v>-49.006132280299049</v>
      </c>
      <c r="H64" s="40">
        <f t="shared" si="20"/>
        <v>-49.006132280299049</v>
      </c>
      <c r="I64" s="40">
        <f t="shared" si="21"/>
        <v>229.00613228029906</v>
      </c>
      <c r="J64" s="40">
        <f t="shared" si="22"/>
        <v>-130.99386771970094</v>
      </c>
      <c r="K64" s="40">
        <f t="shared" si="23"/>
        <v>4.9652625957010716</v>
      </c>
      <c r="L64" s="40">
        <f t="shared" si="24"/>
        <v>617.67056552452891</v>
      </c>
      <c r="M64" s="41">
        <f>COS(RADIANS(E64))*COS(RADIANS(G64-Insolation!$L$6))*SIN(RADIANS(0))+(SIN(RADIANS(E64))*COS(RADIANS(0)))</f>
        <v>0.20139921720671949</v>
      </c>
      <c r="N64" s="41">
        <f>COS(RADIANS(E64))*COS(RADIANS(G64-Insolation!$L$6))*SIN(RADIANS(Insolation!$L$7))+SIN(RADIANS(E64))*COS(RADIANS(Insolation!$L$7))</f>
        <v>0.5736119816635441</v>
      </c>
      <c r="O64" s="40">
        <f t="shared" si="25"/>
        <v>124.39836838827186</v>
      </c>
      <c r="P64" s="40">
        <f t="shared" si="26"/>
        <v>34.114738252598222</v>
      </c>
      <c r="Q64" s="40">
        <f t="shared" si="27"/>
        <v>354.30323710576698</v>
      </c>
      <c r="R64" s="40">
        <f>$C$55*L64*((1+COS(RADIANS(Insolation!$L$7)))/2)</f>
        <v>31.130862179457807</v>
      </c>
      <c r="S64" s="40">
        <f t="shared" si="28"/>
        <v>575.59770556054764</v>
      </c>
      <c r="T64" s="40">
        <f t="shared" si="29"/>
        <v>26.319563305478489</v>
      </c>
      <c r="U64" s="40">
        <f t="shared" si="30"/>
        <v>617.67056552452891</v>
      </c>
      <c r="V64" s="40">
        <f t="shared" si="31"/>
        <v>20.492709915941816</v>
      </c>
      <c r="Y64" s="48">
        <v>15.5</v>
      </c>
      <c r="Z64" s="40">
        <f t="shared" si="32"/>
        <v>17.824123662036801</v>
      </c>
      <c r="AA64" s="181">
        <f t="shared" si="14"/>
        <v>-52.5</v>
      </c>
      <c r="AB64" s="40">
        <f t="shared" si="33"/>
        <v>-54.19753036538733</v>
      </c>
      <c r="AC64" s="40">
        <f t="shared" si="34"/>
        <v>-54.19753036538733</v>
      </c>
      <c r="AD64" s="40">
        <f t="shared" si="35"/>
        <v>234.19753036538734</v>
      </c>
      <c r="AE64" s="40">
        <f t="shared" si="102"/>
        <v>-125.80246963461266</v>
      </c>
      <c r="AF64" s="40">
        <f t="shared" si="37"/>
        <v>3.2669472247368212</v>
      </c>
      <c r="AG64" s="40">
        <f t="shared" si="38"/>
        <v>753.48851753276278</v>
      </c>
      <c r="AH64" s="41">
        <f>COS(RADIANS(Z64))*COS(RADIANS(AB64-Insolation!$L$6))*SIN(RADIANS(0))+(SIN(RADIANS(Z64))*COS(RADIANS(0)))</f>
        <v>0.30609615987309313</v>
      </c>
      <c r="AI64" s="41">
        <f>COS(RADIANS(Z64))*COS(RADIANS(AB64-Insolation!$L$6))*SIN(RADIANS(Insolation!$L$7))+SIN(RADIANS(Z64))*COS(RADIANS(Insolation!$L$7))</f>
        <v>0.61398666266589352</v>
      </c>
      <c r="AJ64" s="40">
        <f t="shared" si="39"/>
        <v>230.63994172524849</v>
      </c>
      <c r="AK64" s="40">
        <f t="shared" si="40"/>
        <v>47.428754032125326</v>
      </c>
      <c r="AL64" s="40">
        <f t="shared" si="41"/>
        <v>462.63190023701264</v>
      </c>
      <c r="AM64" s="40">
        <f>$X$55*AG64*((1+COS(RADIANS(Insolation!$L$7)))/2)</f>
        <v>43.280355668712929</v>
      </c>
      <c r="AN64" s="40">
        <f t="shared" si="42"/>
        <v>733.31189935487089</v>
      </c>
      <c r="AO64" s="40">
        <f t="shared" si="43"/>
        <v>35.968349217019075</v>
      </c>
      <c r="AP64" s="40">
        <f t="shared" si="44"/>
        <v>753.48851753276278</v>
      </c>
      <c r="AQ64" s="40">
        <f t="shared" si="45"/>
        <v>30.973256754462184</v>
      </c>
      <c r="AT64" s="48">
        <v>15.5</v>
      </c>
      <c r="AU64" s="40">
        <f t="shared" si="46"/>
        <v>25.732012344664366</v>
      </c>
      <c r="AV64" s="181">
        <f t="shared" si="15"/>
        <v>-52.5</v>
      </c>
      <c r="AW64" s="40">
        <f t="shared" si="47"/>
        <v>-61.596725839787972</v>
      </c>
      <c r="AX64" s="40">
        <f t="shared" si="48"/>
        <v>-61.596725839787972</v>
      </c>
      <c r="AY64" s="40">
        <f t="shared" si="49"/>
        <v>241.59672583978798</v>
      </c>
      <c r="AZ64" s="40">
        <f t="shared" si="103"/>
        <v>-118.40327416021202</v>
      </c>
      <c r="BA64" s="40">
        <f t="shared" si="51"/>
        <v>2.303285233464579</v>
      </c>
      <c r="BB64" s="40">
        <f t="shared" si="52"/>
        <v>820.84447253136887</v>
      </c>
      <c r="BC64" s="41">
        <f>COS(RADIANS(AU64))*COS(RADIANS(AW64-Insolation!$L$6))*SIN(RADIANS(0))+(SIN(RADIANS(AU64))*COS(RADIANS(0)))</f>
        <v>0.43416246736224234</v>
      </c>
      <c r="BD64" s="41">
        <f>COS(RADIANS(AU64))*COS(RADIANS(AW64-Insolation!$L$6))*SIN(RADIANS(Insolation!$L$7))+SIN(RADIANS(AU64))*COS(RADIANS(Insolation!$L$7))</f>
        <v>0.6488288605499487</v>
      </c>
      <c r="BE64" s="40">
        <f t="shared" si="53"/>
        <v>356.37986151487746</v>
      </c>
      <c r="BF64" s="40">
        <f t="shared" si="54"/>
        <v>63.77056677081967</v>
      </c>
      <c r="BG64" s="40">
        <f t="shared" si="55"/>
        <v>532.58758380125175</v>
      </c>
      <c r="BH64" s="40">
        <f>$AS$55*BB64*((1+COS(RADIANS(Insolation!$L$7)))/2)</f>
        <v>58.192817149845816</v>
      </c>
      <c r="BI64" s="40">
        <f t="shared" si="56"/>
        <v>819.85124036490458</v>
      </c>
      <c r="BJ64" s="40">
        <f t="shared" si="57"/>
        <v>47.124508652437363</v>
      </c>
      <c r="BK64" s="40">
        <f t="shared" si="58"/>
        <v>820.84447253136887</v>
      </c>
      <c r="BL64" s="40">
        <f t="shared" si="59"/>
        <v>45.728676692563681</v>
      </c>
      <c r="BO64" s="48">
        <v>15.5</v>
      </c>
      <c r="BP64" s="40">
        <f t="shared" si="60"/>
        <v>34.416550538190549</v>
      </c>
      <c r="BQ64" s="181">
        <f t="shared" si="16"/>
        <v>-52.5</v>
      </c>
      <c r="BR64" s="40">
        <f t="shared" si="61"/>
        <v>-71.576051772911939</v>
      </c>
      <c r="BS64" s="40">
        <f t="shared" si="62"/>
        <v>-71.576051772911939</v>
      </c>
      <c r="BT64" s="40">
        <f t="shared" si="63"/>
        <v>251.57605177291194</v>
      </c>
      <c r="BU64" s="40">
        <f t="shared" si="104"/>
        <v>-108.42394822708806</v>
      </c>
      <c r="BV64" s="40">
        <f t="shared" si="65"/>
        <v>1.7692685451009602</v>
      </c>
      <c r="BW64" s="40">
        <f t="shared" si="66"/>
        <v>836.39235632621126</v>
      </c>
      <c r="BX64" s="41">
        <f>COS(RADIANS(BP64))*COS(RADIANS(BR64-Insolation!$L$6))*SIN(RADIANS(0))+(SIN(RADIANS(BP64))*COS(RADIANS(0)))</f>
        <v>0.5652053232783476</v>
      </c>
      <c r="BY64" s="41">
        <f>COS(RADIANS(BP64))*COS(RADIANS(BR64-Insolation!$L$6))*SIN(RADIANS(Insolation!$L$7))+SIN(RADIANS(BP64))*COS(RADIANS(Insolation!$L$7))</f>
        <v>0.66212508827729</v>
      </c>
      <c r="BZ64" s="40">
        <f t="shared" si="67"/>
        <v>472.73341214489511</v>
      </c>
      <c r="CA64" s="40">
        <f t="shared" si="68"/>
        <v>82.333285874074932</v>
      </c>
      <c r="CB64" s="40">
        <f t="shared" si="69"/>
        <v>553.79636276694328</v>
      </c>
      <c r="CC64" s="40">
        <f>$BN$55*BW64*((1+COS(RADIANS(Insolation!$L$7)))/2)</f>
        <v>75.131931435309127</v>
      </c>
      <c r="CD64" s="40">
        <f t="shared" si="70"/>
        <v>825.12587834080955</v>
      </c>
      <c r="CE64" s="40">
        <f t="shared" si="71"/>
        <v>58.565497133082438</v>
      </c>
      <c r="CF64" s="40">
        <f t="shared" si="72"/>
        <v>836.39235632621126</v>
      </c>
      <c r="CG64" s="40">
        <f t="shared" si="73"/>
        <v>64.434248666550047</v>
      </c>
      <c r="CJ64" s="48">
        <v>15.5</v>
      </c>
      <c r="CK64" s="40">
        <f t="shared" si="74"/>
        <v>40.431807643421607</v>
      </c>
      <c r="CL64" s="181">
        <f t="shared" si="17"/>
        <v>-52.5</v>
      </c>
      <c r="CM64" s="40">
        <f t="shared" si="75"/>
        <v>-80.648980928199478</v>
      </c>
      <c r="CN64" s="40">
        <f t="shared" si="76"/>
        <v>-80.648980928199478</v>
      </c>
      <c r="CO64" s="40">
        <f t="shared" si="77"/>
        <v>260.64898092819948</v>
      </c>
      <c r="CP64" s="40">
        <f t="shared" si="105"/>
        <v>-99.351019071800522</v>
      </c>
      <c r="CQ64" s="40">
        <f t="shared" si="79"/>
        <v>1.5419188342853556</v>
      </c>
      <c r="CR64" s="40">
        <f t="shared" si="80"/>
        <v>823.15434579066823</v>
      </c>
      <c r="CS64" s="41">
        <f>COS(RADIANS(CK64))*COS(RADIANS(CM64-Insolation!$L$6))*SIN(RADIANS(0))+(SIN(RADIANS(CK64))*COS(RADIANS(0)))</f>
        <v>0.64854256771788987</v>
      </c>
      <c r="CT64" s="41">
        <f>COS(RADIANS(CK64))*COS(RADIANS(CM64-Insolation!$L$6))*SIN(RADIANS(Insolation!$L$7))+SIN(RADIANS(CK64))*COS(RADIANS(Insolation!$L$7))</f>
        <v>0.6519397138772679</v>
      </c>
      <c r="CU64" s="40">
        <f t="shared" si="81"/>
        <v>533.85063304721984</v>
      </c>
      <c r="CV64" s="40">
        <f t="shared" si="82"/>
        <v>96.858983388442994</v>
      </c>
      <c r="CW64" s="40">
        <f t="shared" si="83"/>
        <v>536.64700867159786</v>
      </c>
      <c r="CX64" s="40">
        <f>$CI$55*CR64*((1+COS(RADIANS(Insolation!$L$7)))/2)</f>
        <v>88.387125833461809</v>
      </c>
      <c r="CY64" s="40">
        <f t="shared" si="84"/>
        <v>779.27586583082257</v>
      </c>
      <c r="CZ64" s="40">
        <f t="shared" si="101"/>
        <v>66.288921882624209</v>
      </c>
      <c r="DA64" s="40">
        <f t="shared" si="85"/>
        <v>823.15434579066823</v>
      </c>
      <c r="DB64" s="40">
        <f t="shared" si="86"/>
        <v>79.838078590864129</v>
      </c>
      <c r="DE64" s="48">
        <v>15.5</v>
      </c>
      <c r="DF64" s="40">
        <f t="shared" si="87"/>
        <v>43.05189893936106</v>
      </c>
      <c r="DG64" s="181">
        <f t="shared" si="18"/>
        <v>-52.5</v>
      </c>
      <c r="DH64" s="40">
        <f t="shared" si="88"/>
        <v>-85.59139811862309</v>
      </c>
      <c r="DI64" s="40">
        <f t="shared" si="89"/>
        <v>-85.59139811862309</v>
      </c>
      <c r="DJ64" s="40">
        <f t="shared" si="90"/>
        <v>265.59139811862309</v>
      </c>
      <c r="DK64" s="40">
        <f t="shared" si="106"/>
        <v>-94.40860188137691</v>
      </c>
      <c r="DL64" s="40">
        <f t="shared" si="92"/>
        <v>1.4648568841593601</v>
      </c>
      <c r="DM64" s="40">
        <f t="shared" si="93"/>
        <v>805.24311482868302</v>
      </c>
      <c r="DN64" s="41">
        <f>COS(RADIANS(DF64))*COS(RADIANS(DH64-Insolation!$L$6))*SIN(RADIANS(0))+(SIN(RADIANS(DF64))*COS(RADIANS(0)))</f>
        <v>0.68266054575964374</v>
      </c>
      <c r="DO64" s="41">
        <f>COS(RADIANS(DF64))*COS(RADIANS(DH64-Insolation!$L$6))*SIN(RADIANS(Insolation!$L$7))+SIN(RADIANS(DF64))*COS(RADIANS(Insolation!$L$7))</f>
        <v>0.64076469525657009</v>
      </c>
      <c r="DP64" s="40">
        <f t="shared" si="94"/>
        <v>549.70770423814417</v>
      </c>
      <c r="DQ64" s="40">
        <f t="shared" si="95"/>
        <v>105.71276102127827</v>
      </c>
      <c r="DR64" s="40">
        <f t="shared" si="96"/>
        <v>515.97135908065241</v>
      </c>
      <c r="DS64" s="40">
        <f>$DD$55*DM64*((1+COS(RADIANS(Insolation!$L$7)))/2)</f>
        <v>96.466499892102561</v>
      </c>
      <c r="DT64" s="40">
        <f t="shared" si="97"/>
        <v>739.49249603190685</v>
      </c>
      <c r="DU64" s="40">
        <f t="shared" si="98"/>
        <v>70.706572035377874</v>
      </c>
      <c r="DV64" s="40">
        <f t="shared" si="99"/>
        <v>805.24311482868302</v>
      </c>
      <c r="DW64" s="40">
        <f t="shared" si="100"/>
        <v>88.939346076911448</v>
      </c>
    </row>
    <row r="65" spans="3:127" x14ac:dyDescent="0.15">
      <c r="D65" s="48">
        <v>16</v>
      </c>
      <c r="E65" s="40">
        <f t="shared" si="12"/>
        <v>7.1090510901088475</v>
      </c>
      <c r="F65" s="181">
        <f t="shared" si="13"/>
        <v>-60</v>
      </c>
      <c r="G65" s="40">
        <f t="shared" si="19"/>
        <v>-54.418432704432774</v>
      </c>
      <c r="H65" s="40">
        <f t="shared" si="20"/>
        <v>-54.418432704432774</v>
      </c>
      <c r="I65" s="40">
        <f t="shared" si="21"/>
        <v>234.41843270443277</v>
      </c>
      <c r="J65" s="40">
        <f t="shared" si="22"/>
        <v>-125.58156729556723</v>
      </c>
      <c r="K65" s="40">
        <f t="shared" si="23"/>
        <v>8.080270363334904</v>
      </c>
      <c r="L65" s="40">
        <f t="shared" si="24"/>
        <v>400.34984440035339</v>
      </c>
      <c r="M65" s="41">
        <f>COS(RADIANS(E65))*COS(RADIANS(G65-Insolation!$L$6))*SIN(RADIANS(0))+(SIN(RADIANS(E65))*COS(RADIANS(0)))</f>
        <v>0.12375823518698181</v>
      </c>
      <c r="N65" s="41">
        <f>COS(RADIANS(E65))*COS(RADIANS(G65-Insolation!$L$6))*SIN(RADIANS(Insolation!$L$7))+SIN(RADIANS(E65))*COS(RADIANS(Insolation!$L$7))</f>
        <v>0.47724640178250211</v>
      </c>
      <c r="O65" s="40">
        <f t="shared" si="25"/>
        <v>49.54659020037051</v>
      </c>
      <c r="P65" s="40">
        <f t="shared" si="26"/>
        <v>22.111835845032026</v>
      </c>
      <c r="Q65" s="40">
        <f t="shared" si="27"/>
        <v>191.06552269425325</v>
      </c>
      <c r="R65" s="40">
        <f>$C$55*L65*((1+COS(RADIANS(Insolation!$L$7)))/2)</f>
        <v>20.177804359207141</v>
      </c>
      <c r="S65" s="40">
        <f t="shared" si="28"/>
        <v>373.07986606529408</v>
      </c>
      <c r="T65" s="40">
        <f t="shared" si="29"/>
        <v>16.31073462792514</v>
      </c>
      <c r="U65" s="40">
        <f t="shared" si="30"/>
        <v>400.34984440035339</v>
      </c>
      <c r="V65" s="40">
        <f t="shared" si="31"/>
        <v>12.424178812978719</v>
      </c>
      <c r="Y65" s="48">
        <v>16</v>
      </c>
      <c r="Z65" s="40">
        <f t="shared" si="32"/>
        <v>13.003529524495349</v>
      </c>
      <c r="AA65" s="181">
        <f t="shared" si="14"/>
        <v>-60</v>
      </c>
      <c r="AB65" s="40">
        <f t="shared" si="33"/>
        <v>-59.884720958437306</v>
      </c>
      <c r="AC65" s="40">
        <f t="shared" si="34"/>
        <v>-59.884720958437306</v>
      </c>
      <c r="AD65" s="40">
        <f t="shared" si="35"/>
        <v>239.8847209584373</v>
      </c>
      <c r="AE65" s="40">
        <f t="shared" si="102"/>
        <v>-120.1152790415627</v>
      </c>
      <c r="AF65" s="40">
        <f t="shared" si="37"/>
        <v>4.4442256524555024</v>
      </c>
      <c r="AG65" s="40">
        <f t="shared" si="38"/>
        <v>634.5316780753808</v>
      </c>
      <c r="AH65" s="41">
        <f>COS(RADIANS(Z65))*COS(RADIANS(AB65-Insolation!$L$6))*SIN(RADIANS(0))+(SIN(RADIANS(Z65))*COS(RADIANS(0)))</f>
        <v>0.22501107688973551</v>
      </c>
      <c r="AI65" s="41">
        <f>COS(RADIANS(Z65))*COS(RADIANS(AB65-Insolation!$L$6))*SIN(RADIANS(Insolation!$L$7))+SIN(RADIANS(Z65))*COS(RADIANS(Insolation!$L$7))</f>
        <v>0.51334637144176576</v>
      </c>
      <c r="AJ65" s="40">
        <f t="shared" si="39"/>
        <v>142.7766562043924</v>
      </c>
      <c r="AK65" s="40">
        <f t="shared" si="40"/>
        <v>39.940949576209555</v>
      </c>
      <c r="AL65" s="40">
        <f t="shared" si="41"/>
        <v>325.73453450485135</v>
      </c>
      <c r="AM65" s="40">
        <f>$X$55*AG65*((1+COS(RADIANS(Insolation!$L$7)))/2)</f>
        <v>36.447478722160639</v>
      </c>
      <c r="AN65" s="40">
        <f t="shared" si="42"/>
        <v>617.5404392012631</v>
      </c>
      <c r="AO65" s="40">
        <f t="shared" si="43"/>
        <v>28.816531259300863</v>
      </c>
      <c r="AP65" s="40">
        <f t="shared" si="44"/>
        <v>634.5316780753808</v>
      </c>
      <c r="AQ65" s="40">
        <f t="shared" si="45"/>
        <v>24.464052826175546</v>
      </c>
      <c r="AT65" s="48">
        <v>16</v>
      </c>
      <c r="AU65" s="40">
        <f t="shared" si="46"/>
        <v>20.545260583949243</v>
      </c>
      <c r="AV65" s="181">
        <f t="shared" si="15"/>
        <v>-60</v>
      </c>
      <c r="AW65" s="40">
        <f t="shared" si="47"/>
        <v>-67.477800643609996</v>
      </c>
      <c r="AX65" s="40">
        <f t="shared" si="48"/>
        <v>-67.477800643609996</v>
      </c>
      <c r="AY65" s="40">
        <f t="shared" si="49"/>
        <v>247.47780064361001</v>
      </c>
      <c r="AZ65" s="40">
        <f t="shared" si="103"/>
        <v>-112.52219935638999</v>
      </c>
      <c r="BA65" s="40">
        <f t="shared" si="51"/>
        <v>2.8494315418194107</v>
      </c>
      <c r="BB65" s="40">
        <f t="shared" si="52"/>
        <v>752.63226976936551</v>
      </c>
      <c r="BC65" s="41">
        <f>COS(RADIANS(AU65))*COS(RADIANS(AW65-Insolation!$L$6))*SIN(RADIANS(0))+(SIN(RADIANS(AU65))*COS(RADIANS(0)))</f>
        <v>0.35094719256230417</v>
      </c>
      <c r="BD65" s="41">
        <f>COS(RADIANS(AU65))*COS(RADIANS(AW65-Insolation!$L$6))*SIN(RADIANS(Insolation!$L$7))+SIN(RADIANS(AU65))*COS(RADIANS(Insolation!$L$7))</f>
        <v>0.54554464128263325</v>
      </c>
      <c r="BE65" s="40">
        <f t="shared" si="53"/>
        <v>264.13418210735358</v>
      </c>
      <c r="BF65" s="40">
        <f t="shared" si="54"/>
        <v>58.471230567209197</v>
      </c>
      <c r="BG65" s="40">
        <f t="shared" si="55"/>
        <v>410.59450162906256</v>
      </c>
      <c r="BH65" s="40">
        <f>$AS$55*BB65*((1+COS(RADIANS(Insolation!$L$7)))/2)</f>
        <v>53.356992123850077</v>
      </c>
      <c r="BI65" s="40">
        <f t="shared" si="56"/>
        <v>751.7215752287193</v>
      </c>
      <c r="BJ65" s="40">
        <f t="shared" si="57"/>
        <v>40.82968266458613</v>
      </c>
      <c r="BK65" s="40">
        <f t="shared" si="58"/>
        <v>752.63226976936551</v>
      </c>
      <c r="BL65" s="40">
        <f t="shared" si="59"/>
        <v>39.495772390217226</v>
      </c>
      <c r="BO65" s="48">
        <v>16</v>
      </c>
      <c r="BP65" s="40">
        <f t="shared" si="60"/>
        <v>28.882275202221184</v>
      </c>
      <c r="BQ65" s="181">
        <f t="shared" si="16"/>
        <v>-60</v>
      </c>
      <c r="BR65" s="40">
        <f t="shared" si="61"/>
        <v>-77.350119558334313</v>
      </c>
      <c r="BS65" s="40">
        <f t="shared" si="62"/>
        <v>-77.350119558334313</v>
      </c>
      <c r="BT65" s="40">
        <f t="shared" si="63"/>
        <v>257.35011955833431</v>
      </c>
      <c r="BU65" s="40">
        <f t="shared" si="104"/>
        <v>-102.64988044166569</v>
      </c>
      <c r="BV65" s="40">
        <f t="shared" si="65"/>
        <v>2.0703439528479004</v>
      </c>
      <c r="BW65" s="40">
        <f t="shared" si="66"/>
        <v>792.98542488351313</v>
      </c>
      <c r="BX65" s="41">
        <f>COS(RADIANS(BP65))*COS(RADIANS(BR65-Insolation!$L$6))*SIN(RADIANS(0))+(SIN(RADIANS(BP65))*COS(RADIANS(0)))</f>
        <v>0.48301152985929285</v>
      </c>
      <c r="BY65" s="41">
        <f>COS(RADIANS(BP65))*COS(RADIANS(BR65-Insolation!$L$6))*SIN(RADIANS(Insolation!$L$7))+SIN(RADIANS(BP65))*COS(RADIANS(Insolation!$L$7))</f>
        <v>0.56010870003227453</v>
      </c>
      <c r="BZ65" s="40">
        <f t="shared" si="67"/>
        <v>383.02110322910704</v>
      </c>
      <c r="CA65" s="40">
        <f t="shared" si="68"/>
        <v>78.060368662007335</v>
      </c>
      <c r="CB65" s="40">
        <f t="shared" si="69"/>
        <v>444.15803547604543</v>
      </c>
      <c r="CC65" s="40">
        <f>$BN$55*BW65*((1+COS(RADIANS(Insolation!$L$7)))/2)</f>
        <v>71.232748746343944</v>
      </c>
      <c r="CD65" s="40">
        <f t="shared" si="70"/>
        <v>782.30365242992798</v>
      </c>
      <c r="CE65" s="40">
        <f t="shared" si="71"/>
        <v>52.037780303212536</v>
      </c>
      <c r="CF65" s="40">
        <f t="shared" si="72"/>
        <v>792.98542488351313</v>
      </c>
      <c r="CG65" s="40">
        <f t="shared" si="73"/>
        <v>57.882213375411943</v>
      </c>
      <c r="CJ65" s="48">
        <v>16</v>
      </c>
      <c r="CK65" s="40">
        <f t="shared" si="74"/>
        <v>34.727054451288346</v>
      </c>
      <c r="CL65" s="181">
        <f t="shared" si="17"/>
        <v>-60</v>
      </c>
      <c r="CM65" s="40">
        <f t="shared" si="75"/>
        <v>-85.988597795461459</v>
      </c>
      <c r="CN65" s="40">
        <f t="shared" si="76"/>
        <v>-85.988597795461459</v>
      </c>
      <c r="CO65" s="40">
        <f t="shared" si="77"/>
        <v>265.98859779546149</v>
      </c>
      <c r="CP65" s="40">
        <f t="shared" si="105"/>
        <v>-94.011402204538513</v>
      </c>
      <c r="CQ65" s="40">
        <f t="shared" si="79"/>
        <v>1.7554094378072458</v>
      </c>
      <c r="CR65" s="40">
        <f t="shared" si="80"/>
        <v>789.78587627483228</v>
      </c>
      <c r="CS65" s="41">
        <f>COS(RADIANS(CK65))*COS(RADIANS(CM65-Insolation!$L$6))*SIN(RADIANS(0))+(SIN(RADIANS(CK65))*COS(RADIANS(0)))</f>
        <v>0.56966766753239129</v>
      </c>
      <c r="CT65" s="41">
        <f>COS(RADIANS(CK65))*COS(RADIANS(CM65-Insolation!$L$6))*SIN(RADIANS(Insolation!$L$7))+SIN(RADIANS(CK65))*COS(RADIANS(Insolation!$L$7))</f>
        <v>0.55404263302243506</v>
      </c>
      <c r="CU65" s="40">
        <f t="shared" si="81"/>
        <v>449.91547798750946</v>
      </c>
      <c r="CV65" s="40">
        <f t="shared" si="82"/>
        <v>92.932579973263742</v>
      </c>
      <c r="CW65" s="40">
        <f t="shared" si="83"/>
        <v>437.57504641523917</v>
      </c>
      <c r="CX65" s="40">
        <f>$CI$55*CR65*((1+COS(RADIANS(Insolation!$L$7)))/2)</f>
        <v>84.804148802424834</v>
      </c>
      <c r="CY65" s="40">
        <f t="shared" si="84"/>
        <v>747.68611221247113</v>
      </c>
      <c r="CZ65" s="40">
        <f t="shared" si="101"/>
        <v>59.223561576592687</v>
      </c>
      <c r="DA65" s="40">
        <f t="shared" si="85"/>
        <v>789.78587627483228</v>
      </c>
      <c r="DB65" s="40">
        <f t="shared" si="86"/>
        <v>72.936633022200169</v>
      </c>
      <c r="DE65" s="48">
        <v>16</v>
      </c>
      <c r="DF65" s="40">
        <f t="shared" si="87"/>
        <v>37.311458708585981</v>
      </c>
      <c r="DG65" s="181">
        <f t="shared" si="18"/>
        <v>-60</v>
      </c>
      <c r="DH65" s="40">
        <f t="shared" si="88"/>
        <v>-90.578576153356209</v>
      </c>
      <c r="DI65" s="40">
        <f t="shared" si="89"/>
        <v>-89.421423846643791</v>
      </c>
      <c r="DJ65" s="40">
        <f t="shared" si="90"/>
        <v>269.42142384664379</v>
      </c>
      <c r="DK65" s="40">
        <f t="shared" si="106"/>
        <v>-90.578576153356209</v>
      </c>
      <c r="DL65" s="40">
        <f t="shared" si="92"/>
        <v>1.6497635287653587</v>
      </c>
      <c r="DM65" s="40">
        <f t="shared" si="93"/>
        <v>775.1840855077603</v>
      </c>
      <c r="DN65" s="41">
        <f>COS(RADIANS(DF65))*COS(RADIANS(DH65-Insolation!$L$6))*SIN(RADIANS(0))+(SIN(RADIANS(DF65))*COS(RADIANS(0)))</f>
        <v>0.6061474766316205</v>
      </c>
      <c r="DO65" s="41">
        <f>COS(RADIANS(DF65))*COS(RADIANS(DH65-Insolation!$L$6))*SIN(RADIANS(Insolation!$L$7))+SIN(RADIANS(DF65))*COS(RADIANS(Insolation!$L$7))</f>
        <v>0.54579904588950823</v>
      </c>
      <c r="DP65" s="40">
        <f t="shared" si="94"/>
        <v>469.87587735551926</v>
      </c>
      <c r="DQ65" s="40">
        <f t="shared" si="95"/>
        <v>101.76659504404995</v>
      </c>
      <c r="DR65" s="40">
        <f t="shared" si="96"/>
        <v>423.09473425886654</v>
      </c>
      <c r="DS65" s="40">
        <f>$DD$55*DM65*((1+COS(RADIANS(Insolation!$L$7)))/2)</f>
        <v>92.865488849169992</v>
      </c>
      <c r="DT65" s="40">
        <f t="shared" si="97"/>
        <v>711.88788046738318</v>
      </c>
      <c r="DU65" s="40">
        <f t="shared" si="98"/>
        <v>63.190538236830683</v>
      </c>
      <c r="DV65" s="40">
        <f t="shared" si="99"/>
        <v>775.1840855077603</v>
      </c>
      <c r="DW65" s="40">
        <f t="shared" si="100"/>
        <v>81.726079917696396</v>
      </c>
    </row>
    <row r="66" spans="3:127" x14ac:dyDescent="0.15">
      <c r="D66" s="48">
        <v>16.5</v>
      </c>
      <c r="E66" s="40">
        <f t="shared" si="12"/>
        <v>2.2930184163709284</v>
      </c>
      <c r="F66" s="181">
        <f t="shared" si="13"/>
        <v>-67.5</v>
      </c>
      <c r="G66" s="40">
        <f t="shared" si="19"/>
        <v>-59.501118540783601</v>
      </c>
      <c r="H66" s="40">
        <f t="shared" si="20"/>
        <v>-59.501118540783601</v>
      </c>
      <c r="I66" s="40">
        <f t="shared" si="21"/>
        <v>239.50111854078361</v>
      </c>
      <c r="J66" s="40">
        <f t="shared" si="22"/>
        <v>-120.49888145921639</v>
      </c>
      <c r="K66" s="40">
        <f t="shared" si="23"/>
        <v>24.993727338085812</v>
      </c>
      <c r="L66" s="40">
        <f t="shared" si="24"/>
        <v>38.013654531723262</v>
      </c>
      <c r="M66" s="41">
        <f>COS(RADIANS(E66))*COS(RADIANS(G66-Insolation!$L$6))*SIN(RADIANS(0))+(SIN(RADIANS(E66))*COS(RADIANS(0)))</f>
        <v>4.0010038777857082E-2</v>
      </c>
      <c r="N66" s="41">
        <f>COS(RADIANS(E66))*COS(RADIANS(G66-Insolation!$L$6))*SIN(RADIANS(Insolation!$L$7))+SIN(RADIANS(E66))*COS(RADIANS(Insolation!$L$7))</f>
        <v>0.37209300507113863</v>
      </c>
      <c r="O66" s="40">
        <f t="shared" si="25"/>
        <v>1.5209277919023103</v>
      </c>
      <c r="P66" s="40">
        <f t="shared" si="26"/>
        <v>2.0995429388369224</v>
      </c>
      <c r="Q66" s="40">
        <f t="shared" si="27"/>
        <v>14.144614948445016</v>
      </c>
      <c r="R66" s="40">
        <f>$C$55*L66*((1+COS(RADIANS(Insolation!$L$7)))/2)</f>
        <v>1.9159045391124496</v>
      </c>
      <c r="S66" s="40">
        <f t="shared" si="28"/>
        <v>35.424340335612612</v>
      </c>
      <c r="T66" s="40">
        <f t="shared" si="29"/>
        <v>1.4694166339235208</v>
      </c>
      <c r="U66" s="40">
        <f t="shared" si="30"/>
        <v>38.013654531723262</v>
      </c>
      <c r="V66" s="40">
        <f t="shared" si="31"/>
        <v>1.0917728666177817</v>
      </c>
      <c r="Y66" s="48">
        <v>16.5</v>
      </c>
      <c r="Z66" s="40">
        <f t="shared" si="32"/>
        <v>7.9059766572064571</v>
      </c>
      <c r="AA66" s="181">
        <f t="shared" si="14"/>
        <v>-67.5</v>
      </c>
      <c r="AB66" s="40">
        <f t="shared" si="33"/>
        <v>-65.198770971766095</v>
      </c>
      <c r="AC66" s="40">
        <f t="shared" si="34"/>
        <v>-65.198770971766095</v>
      </c>
      <c r="AD66" s="40">
        <f t="shared" si="35"/>
        <v>245.19877097176609</v>
      </c>
      <c r="AE66" s="40">
        <f t="shared" si="102"/>
        <v>-114.80122902823391</v>
      </c>
      <c r="AF66" s="40">
        <f t="shared" si="37"/>
        <v>7.2701963108891059</v>
      </c>
      <c r="AG66" s="40">
        <f t="shared" si="38"/>
        <v>420.0736779803417</v>
      </c>
      <c r="AH66" s="41">
        <f>COS(RADIANS(Z66))*COS(RADIANS(AB66-Insolation!$L$6))*SIN(RADIANS(0))+(SIN(RADIANS(Z66))*COS(RADIANS(0)))</f>
        <v>0.13754786765554414</v>
      </c>
      <c r="AI66" s="41">
        <f>COS(RADIANS(Z66))*COS(RADIANS(AB66-Insolation!$L$6))*SIN(RADIANS(Insolation!$L$7))+SIN(RADIANS(Z66))*COS(RADIANS(Insolation!$L$7))</f>
        <v>0.40352844183140513</v>
      </c>
      <c r="AJ66" s="40">
        <f t="shared" si="39"/>
        <v>57.780238664417702</v>
      </c>
      <c r="AK66" s="40">
        <f t="shared" si="40"/>
        <v>26.441771420137854</v>
      </c>
      <c r="AL66" s="40">
        <f t="shared" si="41"/>
        <v>169.51167672979471</v>
      </c>
      <c r="AM66" s="40">
        <f>$X$55*AG66*((1+COS(RADIANS(Insolation!$L$7)))/2)</f>
        <v>24.129018249124201</v>
      </c>
      <c r="AN66" s="40">
        <f t="shared" si="42"/>
        <v>408.82511080251004</v>
      </c>
      <c r="AO66" s="40">
        <f t="shared" si="43"/>
        <v>18.000835723226462</v>
      </c>
      <c r="AP66" s="40">
        <f t="shared" si="44"/>
        <v>420.0736779803417</v>
      </c>
      <c r="AQ66" s="40">
        <f t="shared" si="45"/>
        <v>15.03939034800656</v>
      </c>
      <c r="AT66" s="48">
        <v>16.5</v>
      </c>
      <c r="AU66" s="40">
        <f t="shared" si="46"/>
        <v>15.140460553266353</v>
      </c>
      <c r="AV66" s="181">
        <f t="shared" si="15"/>
        <v>-67.5</v>
      </c>
      <c r="AW66" s="40">
        <f t="shared" si="47"/>
        <v>-72.929433767365282</v>
      </c>
      <c r="AX66" s="40">
        <f t="shared" si="48"/>
        <v>-72.929433767365282</v>
      </c>
      <c r="AY66" s="40">
        <f t="shared" si="49"/>
        <v>252.92943376736528</v>
      </c>
      <c r="AZ66" s="40">
        <f t="shared" si="103"/>
        <v>-107.07056623263472</v>
      </c>
      <c r="BA66" s="40">
        <f t="shared" si="51"/>
        <v>3.82868574258586</v>
      </c>
      <c r="BB66" s="40">
        <f t="shared" si="52"/>
        <v>644.20656650634089</v>
      </c>
      <c r="BC66" s="41">
        <f>COS(RADIANS(AU66))*COS(RADIANS(AW66-Insolation!$L$6))*SIN(RADIANS(0))+(SIN(RADIANS(AU66))*COS(RADIANS(0)))</f>
        <v>0.2611862313161824</v>
      </c>
      <c r="BD66" s="41">
        <f>COS(RADIANS(AU66))*COS(RADIANS(AW66-Insolation!$L$6))*SIN(RADIANS(Insolation!$L$7))+SIN(RADIANS(AU66))*COS(RADIANS(Insolation!$L$7))</f>
        <v>0.43284167725702949</v>
      </c>
      <c r="BE66" s="40">
        <f t="shared" si="53"/>
        <v>168.2578852949288</v>
      </c>
      <c r="BF66" s="40">
        <f t="shared" si="54"/>
        <v>50.047748676315969</v>
      </c>
      <c r="BG66" s="40">
        <f t="shared" si="55"/>
        <v>278.8394507465967</v>
      </c>
      <c r="BH66" s="40">
        <f>$AS$55*BB66*((1+COS(RADIANS(Insolation!$L$7)))/2)</f>
        <v>45.670277605482518</v>
      </c>
      <c r="BI66" s="40">
        <f t="shared" si="56"/>
        <v>643.42706843439998</v>
      </c>
      <c r="BJ66" s="40">
        <f t="shared" si="57"/>
        <v>32.739785432796182</v>
      </c>
      <c r="BK66" s="40">
        <f t="shared" si="58"/>
        <v>644.20656650634089</v>
      </c>
      <c r="BL66" s="40">
        <f t="shared" si="59"/>
        <v>31.559765769471202</v>
      </c>
      <c r="BO66" s="48">
        <v>16.5</v>
      </c>
      <c r="BP66" s="40">
        <f t="shared" si="60"/>
        <v>23.225590991925866</v>
      </c>
      <c r="BQ66" s="181">
        <f t="shared" si="16"/>
        <v>-67.5</v>
      </c>
      <c r="BR66" s="40">
        <f t="shared" si="61"/>
        <v>-82.662781022953297</v>
      </c>
      <c r="BS66" s="40">
        <f t="shared" si="62"/>
        <v>-82.662781022953297</v>
      </c>
      <c r="BT66" s="40">
        <f t="shared" si="63"/>
        <v>262.66278102295331</v>
      </c>
      <c r="BU66" s="40">
        <f t="shared" si="104"/>
        <v>-97.337218977046689</v>
      </c>
      <c r="BV66" s="40">
        <f t="shared" si="65"/>
        <v>2.5358030065341617</v>
      </c>
      <c r="BW66" s="40">
        <f t="shared" si="66"/>
        <v>730.27013097192207</v>
      </c>
      <c r="BX66" s="41">
        <f>COS(RADIANS(BP66))*COS(RADIANS(BR66-Insolation!$L$6))*SIN(RADIANS(0))+(SIN(RADIANS(BP66))*COS(RADIANS(0)))</f>
        <v>0.39435239938719124</v>
      </c>
      <c r="BY66" s="41">
        <f>COS(RADIANS(BP66))*COS(RADIANS(BR66-Insolation!$L$6))*SIN(RADIANS(Insolation!$L$7))+SIN(RADIANS(BP66))*COS(RADIANS(Insolation!$L$7))</f>
        <v>0.44878918369219822</v>
      </c>
      <c r="BZ66" s="40">
        <f t="shared" si="67"/>
        <v>287.98377834957586</v>
      </c>
      <c r="CA66" s="40">
        <f t="shared" si="68"/>
        <v>71.886763435651403</v>
      </c>
      <c r="CB66" s="40">
        <f t="shared" si="69"/>
        <v>327.73733595368361</v>
      </c>
      <c r="CC66" s="40">
        <f>$BN$55*BW66*((1+COS(RADIANS(Insolation!$L$7)))/2)</f>
        <v>65.599123419102</v>
      </c>
      <c r="CD66" s="40">
        <f t="shared" si="70"/>
        <v>720.43315399364053</v>
      </c>
      <c r="CE66" s="40">
        <f t="shared" si="71"/>
        <v>44.523597927414123</v>
      </c>
      <c r="CF66" s="40">
        <f t="shared" si="72"/>
        <v>730.27013097192207</v>
      </c>
      <c r="CG66" s="40">
        <f t="shared" si="73"/>
        <v>50.117740540339973</v>
      </c>
      <c r="CJ66" s="48">
        <v>16.5</v>
      </c>
      <c r="CK66" s="40">
        <f t="shared" si="74"/>
        <v>28.98551513312113</v>
      </c>
      <c r="CL66" s="181">
        <f t="shared" si="17"/>
        <v>-67.5</v>
      </c>
      <c r="CM66" s="40">
        <f t="shared" si="75"/>
        <v>-90.910204853565631</v>
      </c>
      <c r="CN66" s="40">
        <f t="shared" si="76"/>
        <v>-89.089795146434369</v>
      </c>
      <c r="CO66" s="40">
        <f t="shared" si="77"/>
        <v>269.08979514643437</v>
      </c>
      <c r="CP66" s="40">
        <f t="shared" si="105"/>
        <v>-90.910204853565631</v>
      </c>
      <c r="CQ66" s="40">
        <f t="shared" si="79"/>
        <v>2.0636065728151887</v>
      </c>
      <c r="CR66" s="40">
        <f t="shared" si="80"/>
        <v>743.98629169456979</v>
      </c>
      <c r="CS66" s="41">
        <f>COS(RADIANS(CK66))*COS(RADIANS(CM66-Insolation!$L$6))*SIN(RADIANS(0))+(SIN(RADIANS(CK66))*COS(RADIANS(0)))</f>
        <v>0.48458849335597531</v>
      </c>
      <c r="CT66" s="41">
        <f>COS(RADIANS(CK66))*COS(RADIANS(CM66-Insolation!$L$6))*SIN(RADIANS(Insolation!$L$7))+SIN(RADIANS(CK66))*COS(RADIANS(Insolation!$L$7))</f>
        <v>0.44721807395559543</v>
      </c>
      <c r="CU66" s="40">
        <f t="shared" si="81"/>
        <v>360.52719616977072</v>
      </c>
      <c r="CV66" s="40">
        <f t="shared" si="82"/>
        <v>87.543431237377263</v>
      </c>
      <c r="CW66" s="40">
        <f t="shared" si="83"/>
        <v>332.72411642101133</v>
      </c>
      <c r="CX66" s="40">
        <f>$CI$55*CR66*((1+COS(RADIANS(Insolation!$L$7)))/2)</f>
        <v>79.886366777563381</v>
      </c>
      <c r="CY66" s="40">
        <f t="shared" si="84"/>
        <v>704.32788770574859</v>
      </c>
      <c r="CZ66" s="40">
        <f t="shared" si="101"/>
        <v>51.518204596655842</v>
      </c>
      <c r="DA66" s="40">
        <f t="shared" si="85"/>
        <v>743.98629169456979</v>
      </c>
      <c r="DB66" s="40">
        <f t="shared" si="86"/>
        <v>64.982985341955171</v>
      </c>
      <c r="DE66" s="48">
        <v>16.5</v>
      </c>
      <c r="DF66" s="40">
        <f t="shared" si="87"/>
        <v>31.57511394234367</v>
      </c>
      <c r="DG66" s="181">
        <f t="shared" si="18"/>
        <v>-67.5</v>
      </c>
      <c r="DH66" s="40">
        <f t="shared" si="88"/>
        <v>-95.20464281586078</v>
      </c>
      <c r="DI66" s="40">
        <f t="shared" si="89"/>
        <v>-84.795357184139206</v>
      </c>
      <c r="DJ66" s="40">
        <f t="shared" si="90"/>
        <v>264.79535718413922</v>
      </c>
      <c r="DK66" s="40">
        <f t="shared" si="106"/>
        <v>-95.20464281586078</v>
      </c>
      <c r="DL66" s="40">
        <f t="shared" si="92"/>
        <v>1.9097968043865166</v>
      </c>
      <c r="DM66" s="40">
        <f t="shared" si="93"/>
        <v>734.8011062340272</v>
      </c>
      <c r="DN66" s="41">
        <f>COS(RADIANS(DF66))*COS(RADIANS(DH66-Insolation!$L$6))*SIN(RADIANS(0))+(SIN(RADIANS(DF66))*COS(RADIANS(0)))</f>
        <v>0.52361591437536714</v>
      </c>
      <c r="DO66" s="41">
        <f>COS(RADIANS(DF66))*COS(RADIANS(DH66-Insolation!$L$6))*SIN(RADIANS(Insolation!$L$7))+SIN(RADIANS(DF66))*COS(RADIANS(Insolation!$L$7))</f>
        <v>0.44217324283646109</v>
      </c>
      <c r="DP66" s="40">
        <f t="shared" si="94"/>
        <v>384.75355312476142</v>
      </c>
      <c r="DQ66" s="40">
        <f t="shared" si="95"/>
        <v>96.465095212909375</v>
      </c>
      <c r="DR66" s="40">
        <f t="shared" si="96"/>
        <v>324.90938798331877</v>
      </c>
      <c r="DS66" s="40">
        <f>$DD$55*DM66*((1+COS(RADIANS(Insolation!$L$7)))/2)</f>
        <v>88.027689439259916</v>
      </c>
      <c r="DT66" s="40">
        <f t="shared" si="97"/>
        <v>674.80229775278758</v>
      </c>
      <c r="DU66" s="40">
        <f t="shared" si="98"/>
        <v>55.162479785655741</v>
      </c>
      <c r="DV66" s="40">
        <f t="shared" si="99"/>
        <v>734.8011062340272</v>
      </c>
      <c r="DW66" s="40">
        <f t="shared" si="100"/>
        <v>73.487877124061882</v>
      </c>
    </row>
    <row r="67" spans="3:127" x14ac:dyDescent="0.15">
      <c r="D67" s="48">
        <v>17</v>
      </c>
      <c r="E67" s="40">
        <f t="shared" si="12"/>
        <v>-2.774911855577705</v>
      </c>
      <c r="F67" s="181">
        <f t="shared" si="13"/>
        <v>-75</v>
      </c>
      <c r="G67" s="40">
        <f t="shared" si="19"/>
        <v>-64.314684405419825</v>
      </c>
      <c r="H67" s="40">
        <f t="shared" si="20"/>
        <v>-64.314684405419825</v>
      </c>
      <c r="I67" s="40">
        <f t="shared" si="21"/>
        <v>244.31468440541983</v>
      </c>
      <c r="J67" s="40">
        <f t="shared" si="22"/>
        <v>-115.68531559458017</v>
      </c>
      <c r="K67" s="40">
        <f t="shared" si="23"/>
        <v>20.655857704448856</v>
      </c>
      <c r="L67" s="40">
        <f t="shared" si="24"/>
        <v>0</v>
      </c>
      <c r="M67" s="41">
        <f>COS(RADIANS(E67))*COS(RADIANS(G67-Insolation!$L$6))*SIN(RADIANS(0))+(SIN(RADIANS(E67))*COS(RADIANS(0)))</f>
        <v>-4.8412417160707884E-2</v>
      </c>
      <c r="N67" s="41">
        <f>COS(RADIANS(E67))*COS(RADIANS(G67-Insolation!$L$6))*SIN(RADIANS(Insolation!$L$7))+SIN(RADIANS(E67))*COS(RADIANS(Insolation!$L$7))</f>
        <v>0.25995099530121435</v>
      </c>
      <c r="O67" s="40">
        <f t="shared" si="25"/>
        <v>0</v>
      </c>
      <c r="P67" s="40">
        <f t="shared" si="26"/>
        <v>0</v>
      </c>
      <c r="Q67" s="40">
        <f t="shared" si="27"/>
        <v>0</v>
      </c>
      <c r="R67" s="40">
        <f>$C$55*L67*((1+COS(RADIANS(Insolation!$L$7)))/2)</f>
        <v>0</v>
      </c>
      <c r="S67" s="40">
        <f t="shared" si="28"/>
        <v>0</v>
      </c>
      <c r="T67" s="40">
        <f t="shared" si="29"/>
        <v>0</v>
      </c>
      <c r="U67" s="40">
        <f t="shared" si="30"/>
        <v>0</v>
      </c>
      <c r="V67" s="40">
        <f t="shared" si="31"/>
        <v>0</v>
      </c>
      <c r="Y67" s="48">
        <v>17</v>
      </c>
      <c r="Z67" s="40">
        <f t="shared" si="32"/>
        <v>2.5908269210121886</v>
      </c>
      <c r="AA67" s="181">
        <f t="shared" si="14"/>
        <v>-75</v>
      </c>
      <c r="AB67" s="40">
        <f t="shared" si="33"/>
        <v>-70.223993878543681</v>
      </c>
      <c r="AC67" s="40">
        <f t="shared" si="34"/>
        <v>-70.223993878543681</v>
      </c>
      <c r="AD67" s="40">
        <f t="shared" si="35"/>
        <v>250.22399387854369</v>
      </c>
      <c r="AE67" s="40">
        <f t="shared" si="102"/>
        <v>-109.77600612145631</v>
      </c>
      <c r="AF67" s="40">
        <f t="shared" si="37"/>
        <v>22.122400088180004</v>
      </c>
      <c r="AG67" s="40">
        <f t="shared" si="38"/>
        <v>48.072769720681862</v>
      </c>
      <c r="AH67" s="41">
        <f>COS(RADIANS(Z67))*COS(RADIANS(AB67-Insolation!$L$6))*SIN(RADIANS(0))+(SIN(RADIANS(Z67))*COS(RADIANS(0)))</f>
        <v>4.5203051929898867E-2</v>
      </c>
      <c r="AI67" s="41">
        <f>COS(RADIANS(Z67))*COS(RADIANS(AB67-Insolation!$L$6))*SIN(RADIANS(Insolation!$L$7))+SIN(RADIANS(Z67))*COS(RADIANS(Insolation!$L$7))</f>
        <v>0.28641188905772702</v>
      </c>
      <c r="AJ67" s="40">
        <f t="shared" si="39"/>
        <v>2.1730359060980522</v>
      </c>
      <c r="AK67" s="40">
        <f t="shared" si="40"/>
        <v>3.0259672412673271</v>
      </c>
      <c r="AL67" s="40">
        <f t="shared" si="41"/>
        <v>13.768612787937592</v>
      </c>
      <c r="AM67" s="40">
        <f>$X$55*AG67*((1+COS(RADIANS(Insolation!$L$7)))/2)</f>
        <v>2.7612983118893739</v>
      </c>
      <c r="AN67" s="40">
        <f t="shared" si="42"/>
        <v>46.785496063766786</v>
      </c>
      <c r="AO67" s="40">
        <f t="shared" si="43"/>
        <v>1.9269710515915024</v>
      </c>
      <c r="AP67" s="40">
        <f t="shared" si="44"/>
        <v>48.072769720681862</v>
      </c>
      <c r="AQ67" s="40">
        <f t="shared" si="45"/>
        <v>1.5813750978062535</v>
      </c>
      <c r="AT67" s="48">
        <v>17</v>
      </c>
      <c r="AU67" s="40">
        <f t="shared" si="46"/>
        <v>9.5794688837511668</v>
      </c>
      <c r="AV67" s="181">
        <f t="shared" si="15"/>
        <v>-75</v>
      </c>
      <c r="AW67" s="40">
        <f t="shared" si="47"/>
        <v>-78.069787592422273</v>
      </c>
      <c r="AX67" s="40">
        <f t="shared" si="48"/>
        <v>-78.069787592422273</v>
      </c>
      <c r="AY67" s="40">
        <f t="shared" si="49"/>
        <v>258.06978759242224</v>
      </c>
      <c r="AZ67" s="40">
        <f t="shared" si="103"/>
        <v>-101.93021240757776</v>
      </c>
      <c r="BA67" s="40">
        <f t="shared" si="51"/>
        <v>6.0090585876575604</v>
      </c>
      <c r="BB67" s="40">
        <f t="shared" si="52"/>
        <v>455.62084360850491</v>
      </c>
      <c r="BC67" s="41">
        <f>COS(RADIANS(AU67))*COS(RADIANS(AW67-Insolation!$L$6))*SIN(RADIANS(0))+(SIN(RADIANS(AU67))*COS(RADIANS(0)))</f>
        <v>0.16641541855723826</v>
      </c>
      <c r="BD67" s="41">
        <f>COS(RADIANS(AU67))*COS(RADIANS(AW67-Insolation!$L$6))*SIN(RADIANS(Insolation!$L$7))+SIN(RADIANS(AU67))*COS(RADIANS(Insolation!$L$7))</f>
        <v>0.31264834743478126</v>
      </c>
      <c r="BE67" s="40">
        <f t="shared" si="53"/>
        <v>75.822333392511339</v>
      </c>
      <c r="BF67" s="40">
        <f t="shared" si="54"/>
        <v>35.39671691996805</v>
      </c>
      <c r="BG67" s="40">
        <f t="shared" si="55"/>
        <v>142.44910381103998</v>
      </c>
      <c r="BH67" s="40">
        <f>$AS$55*BB67*((1+COS(RADIANS(Insolation!$L$7)))/2)</f>
        <v>32.30071143684895</v>
      </c>
      <c r="BI67" s="40">
        <f t="shared" si="56"/>
        <v>455.06953664022143</v>
      </c>
      <c r="BJ67" s="40">
        <f t="shared" si="57"/>
        <v>21.498322722908174</v>
      </c>
      <c r="BK67" s="40">
        <f t="shared" si="58"/>
        <v>455.62084360850491</v>
      </c>
      <c r="BL67" s="40">
        <f t="shared" si="59"/>
        <v>20.643638190878303</v>
      </c>
      <c r="BO67" s="48">
        <v>17</v>
      </c>
      <c r="BP67" s="40">
        <f t="shared" si="60"/>
        <v>17.502349879057398</v>
      </c>
      <c r="BQ67" s="181">
        <f t="shared" si="16"/>
        <v>-75</v>
      </c>
      <c r="BR67" s="40">
        <f t="shared" si="61"/>
        <v>-87.667567461463776</v>
      </c>
      <c r="BS67" s="40">
        <f t="shared" si="62"/>
        <v>-87.667567461463776</v>
      </c>
      <c r="BT67" s="40">
        <f t="shared" si="63"/>
        <v>267.66756746146376</v>
      </c>
      <c r="BU67" s="40">
        <f t="shared" si="104"/>
        <v>-92.332432538536239</v>
      </c>
      <c r="BV67" s="40">
        <f t="shared" si="65"/>
        <v>3.3250770101140104</v>
      </c>
      <c r="BW67" s="40">
        <f t="shared" si="66"/>
        <v>635.0514944124468</v>
      </c>
      <c r="BX67" s="41">
        <f>COS(RADIANS(BP67))*COS(RADIANS(BR67-Insolation!$L$6))*SIN(RADIANS(0))+(SIN(RADIANS(BP67))*COS(RADIANS(0)))</f>
        <v>0.30074491416537508</v>
      </c>
      <c r="BY67" s="41">
        <f>COS(RADIANS(BP67))*COS(RADIANS(BR67-Insolation!$L$6))*SIN(RADIANS(Insolation!$L$7))+SIN(RADIANS(BP67))*COS(RADIANS(Insolation!$L$7))</f>
        <v>0.33007124704524082</v>
      </c>
      <c r="BZ67" s="40">
        <f t="shared" si="67"/>
        <v>190.98850717766447</v>
      </c>
      <c r="CA67" s="40">
        <f t="shared" si="68"/>
        <v>62.513574925385669</v>
      </c>
      <c r="CB67" s="40">
        <f t="shared" si="69"/>
        <v>209.61223869866009</v>
      </c>
      <c r="CC67" s="40">
        <f>$BN$55*BW67*((1+COS(RADIANS(Insolation!$L$7)))/2)</f>
        <v>57.045769219676579</v>
      </c>
      <c r="CD67" s="40">
        <f t="shared" si="70"/>
        <v>626.4971435419759</v>
      </c>
      <c r="CE67" s="40">
        <f t="shared" si="71"/>
        <v>35.654132597733437</v>
      </c>
      <c r="CF67" s="40">
        <f t="shared" si="72"/>
        <v>635.0514944124468</v>
      </c>
      <c r="CG67" s="40">
        <f t="shared" si="73"/>
        <v>40.657107325245761</v>
      </c>
      <c r="CJ67" s="48">
        <v>17</v>
      </c>
      <c r="CK67" s="40">
        <f t="shared" si="74"/>
        <v>23.251054951474455</v>
      </c>
      <c r="CL67" s="181">
        <f t="shared" si="17"/>
        <v>-75</v>
      </c>
      <c r="CM67" s="40">
        <f t="shared" si="75"/>
        <v>-95.57571610983365</v>
      </c>
      <c r="CN67" s="40">
        <f t="shared" si="76"/>
        <v>-84.424283890166336</v>
      </c>
      <c r="CO67" s="40">
        <f t="shared" si="77"/>
        <v>264.42428389016635</v>
      </c>
      <c r="CP67" s="40">
        <f t="shared" si="105"/>
        <v>-95.57571610983365</v>
      </c>
      <c r="CQ67" s="40">
        <f t="shared" si="79"/>
        <v>2.5331797566095866</v>
      </c>
      <c r="CR67" s="40">
        <f t="shared" si="80"/>
        <v>679.25940703658671</v>
      </c>
      <c r="CS67" s="41">
        <f>COS(RADIANS(CK67))*COS(RADIANS(CM67-Insolation!$L$6))*SIN(RADIANS(0))+(SIN(RADIANS(CK67))*COS(RADIANS(0)))</f>
        <v>0.39476077344720384</v>
      </c>
      <c r="CT67" s="41">
        <f>COS(RADIANS(CK67))*COS(RADIANS(CM67-Insolation!$L$6))*SIN(RADIANS(Insolation!$L$7))+SIN(RADIANS(CK67))*COS(RADIANS(Insolation!$L$7))</f>
        <v>0.33329383449974304</v>
      </c>
      <c r="CU67" s="40">
        <f t="shared" si="81"/>
        <v>268.14496889305201</v>
      </c>
      <c r="CV67" s="40">
        <f t="shared" si="82"/>
        <v>79.927143626271615</v>
      </c>
      <c r="CW67" s="40">
        <f t="shared" si="83"/>
        <v>226.39297239124571</v>
      </c>
      <c r="CX67" s="40">
        <f>$CI$55*CR67*((1+COS(RADIANS(Insolation!$L$7)))/2)</f>
        <v>72.936244569828602</v>
      </c>
      <c r="CY67" s="40">
        <f t="shared" si="84"/>
        <v>643.05128831425532</v>
      </c>
      <c r="CZ67" s="40">
        <f t="shared" si="101"/>
        <v>43.07066311240235</v>
      </c>
      <c r="DA67" s="40">
        <f t="shared" si="85"/>
        <v>679.25940703658671</v>
      </c>
      <c r="DB67" s="40">
        <f t="shared" si="86"/>
        <v>55.739622331802174</v>
      </c>
      <c r="DE67" s="48">
        <v>17</v>
      </c>
      <c r="DF67" s="40">
        <f t="shared" si="87"/>
        <v>25.879378463252294</v>
      </c>
      <c r="DG67" s="181">
        <f t="shared" si="18"/>
        <v>-75</v>
      </c>
      <c r="DH67" s="40">
        <f t="shared" si="88"/>
        <v>-99.623035204308053</v>
      </c>
      <c r="DI67" s="40">
        <f t="shared" si="89"/>
        <v>-80.376964795691975</v>
      </c>
      <c r="DJ67" s="40">
        <f t="shared" si="90"/>
        <v>260.37696479569195</v>
      </c>
      <c r="DK67" s="40">
        <f t="shared" si="106"/>
        <v>-99.623035204308053</v>
      </c>
      <c r="DL67" s="40">
        <f t="shared" si="92"/>
        <v>2.2910662326510507</v>
      </c>
      <c r="DM67" s="40">
        <f t="shared" si="93"/>
        <v>679.36286518826023</v>
      </c>
      <c r="DN67" s="41">
        <f>COS(RADIANS(DF67))*COS(RADIANS(DH67-Insolation!$L$6))*SIN(RADIANS(0))+(SIN(RADIANS(DF67))*COS(RADIANS(0)))</f>
        <v>0.43647799690316008</v>
      </c>
      <c r="DO67" s="41">
        <f>COS(RADIANS(DF67))*COS(RADIANS(DH67-Insolation!$L$6))*SIN(RADIANS(Insolation!$L$7))+SIN(RADIANS(DF67))*COS(RADIANS(Insolation!$L$7))</f>
        <v>0.33166035231814733</v>
      </c>
      <c r="DP67" s="40">
        <f t="shared" si="94"/>
        <v>296.5269425677634</v>
      </c>
      <c r="DQ67" s="40">
        <f t="shared" si="95"/>
        <v>89.18713229812181</v>
      </c>
      <c r="DR67" s="40">
        <f t="shared" si="96"/>
        <v>225.31772722020443</v>
      </c>
      <c r="DS67" s="40">
        <f>$DD$55*DM67*((1+COS(RADIANS(Insolation!$L$7)))/2)</f>
        <v>81.386300055883922</v>
      </c>
      <c r="DT67" s="40">
        <f t="shared" si="97"/>
        <v>623.89076247654407</v>
      </c>
      <c r="DU67" s="40">
        <f t="shared" si="98"/>
        <v>46.58922611232952</v>
      </c>
      <c r="DV67" s="40">
        <f t="shared" si="99"/>
        <v>679.36286518826023</v>
      </c>
      <c r="DW67" s="40">
        <f t="shared" si="100"/>
        <v>64.057676576571566</v>
      </c>
    </row>
    <row r="68" spans="3:127" x14ac:dyDescent="0.15">
      <c r="D68" s="48">
        <v>17.5</v>
      </c>
      <c r="E68" s="40">
        <f t="shared" si="12"/>
        <v>-8.0476263515936388</v>
      </c>
      <c r="F68" s="181">
        <f t="shared" si="13"/>
        <v>-82.5</v>
      </c>
      <c r="G68" s="40">
        <f t="shared" si="19"/>
        <v>-68.923541538336025</v>
      </c>
      <c r="H68" s="40">
        <f t="shared" si="20"/>
        <v>-68.923541538336025</v>
      </c>
      <c r="I68" s="40">
        <f t="shared" si="21"/>
        <v>248.92354153833602</v>
      </c>
      <c r="J68" s="40">
        <f t="shared" si="22"/>
        <v>-111.07645846166398</v>
      </c>
      <c r="K68" s="40">
        <f t="shared" si="23"/>
        <v>7.143051031167543</v>
      </c>
      <c r="L68" s="40">
        <f t="shared" si="24"/>
        <v>0</v>
      </c>
      <c r="M68" s="41">
        <f>COS(RADIANS(E68))*COS(RADIANS(G68-Insolation!$L$6))*SIN(RADIANS(0))+(SIN(RADIANS(E68))*COS(RADIANS(0)))</f>
        <v>-0.13999619989226766</v>
      </c>
      <c r="N68" s="41">
        <f>COS(RADIANS(E68))*COS(RADIANS(G68-Insolation!$L$6))*SIN(RADIANS(Insolation!$L$7))+SIN(RADIANS(E68))*COS(RADIANS(Insolation!$L$7))</f>
        <v>0.14273915335153209</v>
      </c>
      <c r="O68" s="40">
        <f t="shared" si="25"/>
        <v>0</v>
      </c>
      <c r="P68" s="40">
        <f t="shared" si="26"/>
        <v>0</v>
      </c>
      <c r="Q68" s="40">
        <f t="shared" si="27"/>
        <v>0</v>
      </c>
      <c r="R68" s="40">
        <f>$C$55*L68*((1+COS(RADIANS(Insolation!$L$7)))/2)</f>
        <v>0</v>
      </c>
      <c r="S68" s="40">
        <f t="shared" si="28"/>
        <v>0</v>
      </c>
      <c r="T68" s="40">
        <f t="shared" si="29"/>
        <v>0</v>
      </c>
      <c r="U68" s="40">
        <f t="shared" si="30"/>
        <v>0</v>
      </c>
      <c r="V68" s="40">
        <f t="shared" si="31"/>
        <v>0</v>
      </c>
      <c r="Y68" s="48">
        <v>17.5</v>
      </c>
      <c r="Z68" s="40">
        <f t="shared" si="32"/>
        <v>-2.8914167214773325</v>
      </c>
      <c r="AA68" s="181">
        <f t="shared" si="14"/>
        <v>-82.5</v>
      </c>
      <c r="AB68" s="40">
        <f t="shared" si="33"/>
        <v>-75.044442478589247</v>
      </c>
      <c r="AC68" s="40">
        <f t="shared" si="34"/>
        <v>-75.044442478589247</v>
      </c>
      <c r="AD68" s="40">
        <f t="shared" si="35"/>
        <v>255.04444247858925</v>
      </c>
      <c r="AE68" s="40">
        <f t="shared" si="102"/>
        <v>-104.95555752141075</v>
      </c>
      <c r="AF68" s="40">
        <f>ABS(1/SIN(RADIANS(Z68)))</f>
        <v>19.824228522483477</v>
      </c>
      <c r="AG68" s="40">
        <f t="shared" si="38"/>
        <v>0</v>
      </c>
      <c r="AH68" s="41">
        <f>COS(RADIANS(Z68))*COS(RADIANS(AB68-Insolation!$L$6))*SIN(RADIANS(0))+(SIN(RADIANS(Z68))*COS(RADIANS(0)))</f>
        <v>-5.0443324887314463E-2</v>
      </c>
      <c r="AI68" s="41">
        <f>COS(RADIANS(Z68))*COS(RADIANS(AB68-Insolation!$L$6))*SIN(RADIANS(Insolation!$L$7))+SIN(RADIANS(Z68))*COS(RADIANS(Insolation!$L$7))</f>
        <v>0.16400060980953246</v>
      </c>
      <c r="AJ68" s="40">
        <f t="shared" si="39"/>
        <v>0</v>
      </c>
      <c r="AK68" s="40">
        <f t="shared" si="40"/>
        <v>0</v>
      </c>
      <c r="AL68" s="40">
        <f t="shared" si="41"/>
        <v>0</v>
      </c>
      <c r="AM68" s="40">
        <f>$X$55*AG68*((1+COS(RADIANS(Insolation!$L$7)))/2)</f>
        <v>0</v>
      </c>
      <c r="AN68" s="40">
        <f t="shared" si="42"/>
        <v>0</v>
      </c>
      <c r="AO68" s="40">
        <f t="shared" si="43"/>
        <v>0</v>
      </c>
      <c r="AP68" s="40">
        <f t="shared" si="44"/>
        <v>0</v>
      </c>
      <c r="AQ68" s="40">
        <f t="shared" si="45"/>
        <v>0</v>
      </c>
      <c r="AT68" s="48">
        <v>17.5</v>
      </c>
      <c r="AU68" s="40">
        <f t="shared" si="46"/>
        <v>3.9138415098745298</v>
      </c>
      <c r="AV68" s="181">
        <f t="shared" si="15"/>
        <v>-82.5</v>
      </c>
      <c r="AW68" s="40">
        <f t="shared" si="47"/>
        <v>-83.006528112027183</v>
      </c>
      <c r="AX68" s="40">
        <f t="shared" si="48"/>
        <v>-83.006528112027183</v>
      </c>
      <c r="AY68" s="40">
        <f t="shared" si="49"/>
        <v>263.00652811202718</v>
      </c>
      <c r="AZ68" s="40">
        <f t="shared" si="103"/>
        <v>-96.993471887972817</v>
      </c>
      <c r="BA68" s="40">
        <f>ABS(1/SIN(RADIANS(AU68)))</f>
        <v>14.65066031552116</v>
      </c>
      <c r="BB68" s="40">
        <f t="shared" si="52"/>
        <v>115.45927616474299</v>
      </c>
      <c r="BC68" s="41">
        <f>COS(RADIANS(AU68))*COS(RADIANS(AW68-Insolation!$L$6))*SIN(RADIANS(0))+(SIN(RADIANS(AU68))*COS(RADIANS(0)))</f>
        <v>6.8256309167210913E-2</v>
      </c>
      <c r="BD68" s="41">
        <f>COS(RADIANS(AU68))*COS(RADIANS(AW68-Insolation!$L$6))*SIN(RADIANS(Insolation!$L$7))+SIN(RADIANS(AU68))*COS(RADIANS(Insolation!$L$7))</f>
        <v>0.18702119301303349</v>
      </c>
      <c r="BE68" s="40">
        <f t="shared" si="53"/>
        <v>7.8808240501230831</v>
      </c>
      <c r="BF68" s="40">
        <f t="shared" si="54"/>
        <v>8.9699129693449642</v>
      </c>
      <c r="BG68" s="40">
        <f t="shared" si="55"/>
        <v>21.593331572751534</v>
      </c>
      <c r="BH68" s="40">
        <f>$AS$55*BB68*((1+COS(RADIANS(Insolation!$L$7)))/2)</f>
        <v>8.1853515141404287</v>
      </c>
      <c r="BI68" s="40">
        <f t="shared" si="56"/>
        <v>115.31956898410029</v>
      </c>
      <c r="BJ68" s="40">
        <f t="shared" si="57"/>
        <v>5.0107633311025017</v>
      </c>
      <c r="BK68" s="40">
        <f t="shared" si="58"/>
        <v>115.45927616474299</v>
      </c>
      <c r="BL68" s="40">
        <f t="shared" si="59"/>
        <v>4.7910830610917738</v>
      </c>
      <c r="BO68" s="48">
        <v>17.5</v>
      </c>
      <c r="BP68" s="40">
        <f t="shared" si="60"/>
        <v>11.758718352744111</v>
      </c>
      <c r="BQ68" s="181">
        <f t="shared" si="16"/>
        <v>-82.5</v>
      </c>
      <c r="BR68" s="40">
        <f t="shared" si="61"/>
        <v>-92.4904474333091</v>
      </c>
      <c r="BS68" s="40">
        <f t="shared" si="62"/>
        <v>-87.509552566690886</v>
      </c>
      <c r="BT68" s="40">
        <f t="shared" si="63"/>
        <v>267.5095525666909</v>
      </c>
      <c r="BU68" s="40">
        <f t="shared" si="104"/>
        <v>-92.4904474333091</v>
      </c>
      <c r="BV68" s="40">
        <f>ABS(1/SIN(RADIANS(BP68)))</f>
        <v>4.906994682083357</v>
      </c>
      <c r="BW68" s="40">
        <f t="shared" si="66"/>
        <v>479.95521191829562</v>
      </c>
      <c r="BX68" s="41">
        <f>COS(RADIANS(BP68))*COS(RADIANS(BR68-Insolation!$L$6))*SIN(RADIANS(0))+(SIN(RADIANS(BP68))*COS(RADIANS(0)))</f>
        <v>0.20379072421888814</v>
      </c>
      <c r="BY68" s="41">
        <f>COS(RADIANS(BP68))*COS(RADIANS(BR68-Insolation!$L$6))*SIN(RADIANS(Insolation!$L$7))+SIN(RADIANS(BP68))*COS(RADIANS(Insolation!$L$7))</f>
        <v>0.20598618690226203</v>
      </c>
      <c r="BZ68" s="40">
        <f t="shared" si="67"/>
        <v>97.810420229459396</v>
      </c>
      <c r="CA68" s="40">
        <f t="shared" si="68"/>
        <v>47.246115260059874</v>
      </c>
      <c r="CB68" s="40">
        <f t="shared" si="69"/>
        <v>98.864143986916815</v>
      </c>
      <c r="CC68" s="40">
        <f>$BN$55*BW68*((1+COS(RADIANS(Insolation!$L$7)))/2)</f>
        <v>43.113691560089379</v>
      </c>
      <c r="CD68" s="40">
        <f t="shared" si="70"/>
        <v>473.49005858666078</v>
      </c>
      <c r="CE68" s="40">
        <f t="shared" si="71"/>
        <v>24.589147498050629</v>
      </c>
      <c r="CF68" s="40">
        <f t="shared" si="72"/>
        <v>479.95521191829562</v>
      </c>
      <c r="CG68" s="40">
        <f t="shared" si="73"/>
        <v>28.437217652718267</v>
      </c>
      <c r="CJ68" s="48">
        <v>17.5</v>
      </c>
      <c r="CK68" s="40">
        <f t="shared" si="74"/>
        <v>17.561028879503965</v>
      </c>
      <c r="CL68" s="181">
        <f t="shared" si="17"/>
        <v>-82.5</v>
      </c>
      <c r="CM68" s="40">
        <f t="shared" si="75"/>
        <v>-100.10887068713896</v>
      </c>
      <c r="CN68" s="40">
        <f t="shared" si="76"/>
        <v>-79.891129312861011</v>
      </c>
      <c r="CO68" s="40">
        <f t="shared" si="77"/>
        <v>259.89112931286104</v>
      </c>
      <c r="CP68" s="40">
        <f t="shared" si="105"/>
        <v>-100.10887068713896</v>
      </c>
      <c r="CQ68" s="40">
        <f>ABS(1/SIN(RADIANS(CK68)))</f>
        <v>3.3143148556504798</v>
      </c>
      <c r="CR68" s="40">
        <f t="shared" si="80"/>
        <v>583.81965078833264</v>
      </c>
      <c r="CS68" s="41">
        <f>COS(RADIANS(CK68))*COS(RADIANS(CM68-Insolation!$L$6))*SIN(RADIANS(0))+(SIN(RADIANS(CK68))*COS(RADIANS(0)))</f>
        <v>0.30172148499866536</v>
      </c>
      <c r="CT68" s="41">
        <f>COS(RADIANS(CK68))*COS(RADIANS(CM68-Insolation!$L$6))*SIN(RADIANS(Insolation!$L$7))+SIN(RADIANS(CK68))*COS(RADIANS(Insolation!$L$7))</f>
        <v>0.21421918997773959</v>
      </c>
      <c r="CU68" s="40">
        <f t="shared" si="81"/>
        <v>176.15093200725795</v>
      </c>
      <c r="CV68" s="40">
        <f t="shared" si="82"/>
        <v>68.696931683252203</v>
      </c>
      <c r="CW68" s="40">
        <f t="shared" si="83"/>
        <v>125.06537268496341</v>
      </c>
      <c r="CX68" s="40">
        <f>$CI$55*CR68*((1+COS(RADIANS(Insolation!$L$7)))/2)</f>
        <v>62.688293152009592</v>
      </c>
      <c r="CY68" s="40">
        <f t="shared" si="84"/>
        <v>552.6989758161634</v>
      </c>
      <c r="CZ68" s="40">
        <f t="shared" si="101"/>
        <v>33.610612466491851</v>
      </c>
      <c r="DA68" s="40">
        <f t="shared" si="85"/>
        <v>583.81965078833264</v>
      </c>
      <c r="DB68" s="40">
        <f t="shared" si="86"/>
        <v>44.712135962787464</v>
      </c>
      <c r="DE68" s="48">
        <v>17.5</v>
      </c>
      <c r="DF68" s="40">
        <f t="shared" si="87"/>
        <v>20.256572607366078</v>
      </c>
      <c r="DG68" s="181">
        <f t="shared" si="18"/>
        <v>-82.5</v>
      </c>
      <c r="DH68" s="40">
        <f t="shared" si="88"/>
        <v>-103.94795744135814</v>
      </c>
      <c r="DI68" s="40">
        <f t="shared" si="89"/>
        <v>-76.052042558641872</v>
      </c>
      <c r="DJ68" s="40">
        <f t="shared" si="90"/>
        <v>256.05204255864186</v>
      </c>
      <c r="DK68" s="40">
        <f t="shared" si="106"/>
        <v>-103.94795744135814</v>
      </c>
      <c r="DL68" s="40">
        <f>ABS(1/SIN(RADIANS(DF68)))</f>
        <v>2.8882978687886762</v>
      </c>
      <c r="DM68" s="40">
        <f t="shared" si="93"/>
        <v>600.80936283800827</v>
      </c>
      <c r="DN68" s="41">
        <f>COS(RADIANS(DF68))*COS(RADIANS(DH68-Insolation!$L$6))*SIN(RADIANS(0))+(SIN(RADIANS(DF68))*COS(RADIANS(0)))</f>
        <v>0.34622467814214403</v>
      </c>
      <c r="DO68" s="41">
        <f>COS(RADIANS(DF68))*COS(RADIANS(DH68-Insolation!$L$6))*SIN(RADIANS(Insolation!$L$7))+SIN(RADIANS(DF68))*COS(RADIANS(Insolation!$L$7))</f>
        <v>0.21615128053130211</v>
      </c>
      <c r="DP68" s="40">
        <f t="shared" si="94"/>
        <v>208.01502827337603</v>
      </c>
      <c r="DQ68" s="40">
        <f t="shared" si="95"/>
        <v>78.874585107819755</v>
      </c>
      <c r="DR68" s="40">
        <f t="shared" si="96"/>
        <v>129.86571313263121</v>
      </c>
      <c r="DS68" s="40">
        <f>$DD$55*DM68*((1+COS(RADIANS(Insolation!$L$7)))/2)</f>
        <v>71.975749022973758</v>
      </c>
      <c r="DT68" s="40">
        <f t="shared" si="97"/>
        <v>551.75139927640691</v>
      </c>
      <c r="DU68" s="40">
        <f t="shared" si="98"/>
        <v>37.333549719834906</v>
      </c>
      <c r="DV68" s="40">
        <f t="shared" si="99"/>
        <v>600.80936283800827</v>
      </c>
      <c r="DW68" s="40">
        <f t="shared" si="100"/>
        <v>53.091456475184899</v>
      </c>
    </row>
    <row r="69" spans="3:127" x14ac:dyDescent="0.15">
      <c r="D69" s="48">
        <v>18</v>
      </c>
      <c r="E69" s="40">
        <f t="shared" si="12"/>
        <v>-13.484027554002163</v>
      </c>
      <c r="F69" s="181">
        <f t="shared" si="13"/>
        <v>-90</v>
      </c>
      <c r="G69" s="40">
        <f t="shared" si="19"/>
        <v>-73.395515662950373</v>
      </c>
      <c r="H69" s="40">
        <f t="shared" si="20"/>
        <v>-73.395515662950373</v>
      </c>
      <c r="I69" s="40">
        <f t="shared" si="21"/>
        <v>253.39551566295037</v>
      </c>
      <c r="J69" s="40">
        <f t="shared" si="22"/>
        <v>-106.60448433704963</v>
      </c>
      <c r="K69" s="40">
        <f t="shared" si="23"/>
        <v>4.2886375650089974</v>
      </c>
      <c r="L69" s="40">
        <f t="shared" si="24"/>
        <v>0</v>
      </c>
      <c r="M69" s="41">
        <f>COS(RADIANS(E69))*COS(RADIANS(G69-Insolation!$L$6))*SIN(RADIANS(0))+(SIN(RADIANS(E69))*COS(RADIANS(0)))</f>
        <v>-0.233174285502464</v>
      </c>
      <c r="N69" s="41">
        <f>COS(RADIANS(E69))*COS(RADIANS(G69-Insolation!$L$6))*SIN(RADIANS(Insolation!$L$7))+SIN(RADIANS(E69))*COS(RADIANS(Insolation!$L$7))</f>
        <v>2.2463006335112806E-2</v>
      </c>
      <c r="O69" s="40">
        <f t="shared" si="25"/>
        <v>0</v>
      </c>
      <c r="P69" s="40">
        <f t="shared" si="26"/>
        <v>0</v>
      </c>
      <c r="Q69" s="40">
        <f t="shared" si="27"/>
        <v>0</v>
      </c>
      <c r="R69" s="40">
        <f>$C$55*L69*((1+COS(RADIANS(Insolation!$L$7)))/2)</f>
        <v>0</v>
      </c>
      <c r="S69" s="40">
        <f t="shared" si="28"/>
        <v>0</v>
      </c>
      <c r="T69" s="40">
        <f t="shared" si="29"/>
        <v>0</v>
      </c>
      <c r="U69" s="40">
        <f t="shared" si="30"/>
        <v>0</v>
      </c>
      <c r="V69" s="40">
        <f t="shared" si="31"/>
        <v>0</v>
      </c>
      <c r="Y69" s="48">
        <v>18</v>
      </c>
      <c r="Z69" s="40">
        <f t="shared" si="32"/>
        <v>-8.4968320325781246</v>
      </c>
      <c r="AA69" s="181">
        <f t="shared" si="14"/>
        <v>-90</v>
      </c>
      <c r="AB69" s="40">
        <f t="shared" si="33"/>
        <v>-79.744302207582876</v>
      </c>
      <c r="AC69" s="40">
        <f t="shared" si="34"/>
        <v>-79.744302207582876</v>
      </c>
      <c r="AD69" s="40">
        <f t="shared" si="35"/>
        <v>259.7443022075829</v>
      </c>
      <c r="AE69" s="40">
        <f t="shared" si="102"/>
        <v>-100.2556977924171</v>
      </c>
      <c r="AF69" s="40">
        <f t="shared" si="37"/>
        <v>6.767972990487058</v>
      </c>
      <c r="AG69" s="40">
        <f t="shared" si="38"/>
        <v>0</v>
      </c>
      <c r="AH69" s="41">
        <f>COS(RADIANS(Z69))*COS(RADIANS(AB69-Insolation!$L$6))*SIN(RADIANS(0))+(SIN(RADIANS(Z69))*COS(RADIANS(0)))</f>
        <v>-0.14775472677056811</v>
      </c>
      <c r="AI69" s="41">
        <f>COS(RADIANS(Z69))*COS(RADIANS(AB69-Insolation!$L$6))*SIN(RADIANS(Insolation!$L$7))+SIN(RADIANS(Z69))*COS(RADIANS(Insolation!$L$7))</f>
        <v>3.8389095013575347E-2</v>
      </c>
      <c r="AJ69" s="40">
        <f t="shared" si="39"/>
        <v>0</v>
      </c>
      <c r="AK69" s="40">
        <f t="shared" si="40"/>
        <v>0</v>
      </c>
      <c r="AL69" s="40">
        <f t="shared" si="41"/>
        <v>0</v>
      </c>
      <c r="AM69" s="40">
        <f>$X$55*AG69*((1+COS(RADIANS(Insolation!$L$7)))/2)</f>
        <v>0</v>
      </c>
      <c r="AN69" s="40">
        <f t="shared" si="42"/>
        <v>0</v>
      </c>
      <c r="AO69" s="40">
        <f t="shared" si="43"/>
        <v>0</v>
      </c>
      <c r="AP69" s="40">
        <f t="shared" si="44"/>
        <v>0</v>
      </c>
      <c r="AQ69" s="40">
        <f t="shared" si="45"/>
        <v>0</v>
      </c>
      <c r="AT69" s="48">
        <v>18</v>
      </c>
      <c r="AU69" s="40">
        <f t="shared" si="46"/>
        <v>-1.8115111787802072</v>
      </c>
      <c r="AV69" s="181">
        <f t="shared" si="15"/>
        <v>-90</v>
      </c>
      <c r="AW69" s="40">
        <f t="shared" si="47"/>
        <v>-87.839893722894189</v>
      </c>
      <c r="AX69" s="40">
        <f t="shared" si="48"/>
        <v>-87.839893722894189</v>
      </c>
      <c r="AY69" s="40">
        <f t="shared" si="49"/>
        <v>267.8398937228942</v>
      </c>
      <c r="AZ69" s="40">
        <f t="shared" si="103"/>
        <v>-92.160106277105797</v>
      </c>
      <c r="BA69" s="40">
        <f t="shared" ref="BA69:BA74" si="107">ABS(1/SIN(RADIANS(AU69)))</f>
        <v>31.633989900755154</v>
      </c>
      <c r="BB69" s="40">
        <f t="shared" si="52"/>
        <v>0</v>
      </c>
      <c r="BC69" s="41">
        <f>COS(RADIANS(AU69))*COS(RADIANS(AW69-Insolation!$L$6))*SIN(RADIANS(0))+(SIN(RADIANS(AU69))*COS(RADIANS(0)))</f>
        <v>-3.1611567277390083E-2</v>
      </c>
      <c r="BD69" s="41">
        <f>COS(RADIANS(AU69))*COS(RADIANS(AW69-Insolation!$L$6))*SIN(RADIANS(Insolation!$L$7))+SIN(RADIANS(AU69))*COS(RADIANS(Insolation!$L$7))</f>
        <v>5.810972943437169E-2</v>
      </c>
      <c r="BE69" s="40">
        <f t="shared" si="53"/>
        <v>0</v>
      </c>
      <c r="BF69" s="40">
        <f t="shared" si="54"/>
        <v>0</v>
      </c>
      <c r="BG69" s="40">
        <f t="shared" si="55"/>
        <v>0</v>
      </c>
      <c r="BH69" s="40">
        <f>$AS$55*BB69*((1+COS(RADIANS(Insolation!$L$7)))/2)</f>
        <v>0</v>
      </c>
      <c r="BI69" s="40">
        <f t="shared" si="56"/>
        <v>0</v>
      </c>
      <c r="BJ69" s="40">
        <f t="shared" si="57"/>
        <v>0</v>
      </c>
      <c r="BK69" s="40">
        <f t="shared" si="58"/>
        <v>0</v>
      </c>
      <c r="BL69" s="40">
        <f t="shared" si="59"/>
        <v>0</v>
      </c>
      <c r="BO69" s="48">
        <v>18</v>
      </c>
      <c r="BP69" s="40">
        <f t="shared" si="60"/>
        <v>6.0357363234807337</v>
      </c>
      <c r="BQ69" s="181">
        <f t="shared" si="16"/>
        <v>-90</v>
      </c>
      <c r="BR69" s="40">
        <f t="shared" si="61"/>
        <v>-97.239081525079484</v>
      </c>
      <c r="BS69" s="40">
        <f t="shared" si="62"/>
        <v>-82.760918474920501</v>
      </c>
      <c r="BT69" s="40">
        <f t="shared" si="63"/>
        <v>262.76091847492052</v>
      </c>
      <c r="BU69" s="40">
        <f t="shared" si="104"/>
        <v>-97.239081525079484</v>
      </c>
      <c r="BV69" s="40">
        <f t="shared" ref="BV69:BV74" si="108">ABS(1/SIN(RADIANS(BP69)))</f>
        <v>9.5103372146659826</v>
      </c>
      <c r="BW69" s="40">
        <f t="shared" si="66"/>
        <v>212.48274835856009</v>
      </c>
      <c r="BX69" s="41">
        <f>COS(RADIANS(BP69))*COS(RADIANS(BR69-Insolation!$L$6))*SIN(RADIANS(0))+(SIN(RADIANS(BP69))*COS(RADIANS(0)))</f>
        <v>0.10514874261849416</v>
      </c>
      <c r="BY69" s="41">
        <f>COS(RADIANS(BP69))*COS(RADIANS(BR69-Insolation!$L$6))*SIN(RADIANS(Insolation!$L$7))+SIN(RADIANS(BP69))*COS(RADIANS(Insolation!$L$7))</f>
        <v>7.8657133045186484E-2</v>
      </c>
      <c r="BZ69" s="40">
        <f t="shared" si="67"/>
        <v>22.342293818024498</v>
      </c>
      <c r="CA69" s="40">
        <f t="shared" si="68"/>
        <v>20.916502561976134</v>
      </c>
      <c r="CB69" s="40">
        <f t="shared" si="69"/>
        <v>16.713283807446139</v>
      </c>
      <c r="CC69" s="40">
        <f>$BN$55*BW69*((1+COS(RADIANS(Insolation!$L$7)))/2)</f>
        <v>19.08702197014696</v>
      </c>
      <c r="CD69" s="40">
        <f t="shared" si="70"/>
        <v>209.62053639720915</v>
      </c>
      <c r="CE69" s="40">
        <f t="shared" si="71"/>
        <v>9.8418081556401056</v>
      </c>
      <c r="CF69" s="40">
        <f t="shared" si="72"/>
        <v>212.48274835856009</v>
      </c>
      <c r="CG69" s="40">
        <f t="shared" si="73"/>
        <v>11.55792325317222</v>
      </c>
      <c r="CJ69" s="48">
        <v>18</v>
      </c>
      <c r="CK69" s="40">
        <f t="shared" si="74"/>
        <v>11.950265831290269</v>
      </c>
      <c r="CL69" s="181">
        <f t="shared" si="17"/>
        <v>-90</v>
      </c>
      <c r="CM69" s="40">
        <f t="shared" si="75"/>
        <v>-104.60975037028339</v>
      </c>
      <c r="CN69" s="40">
        <f t="shared" si="76"/>
        <v>-75.390249629716607</v>
      </c>
      <c r="CO69" s="40">
        <f t="shared" si="77"/>
        <v>255.39024962971661</v>
      </c>
      <c r="CP69" s="40">
        <f t="shared" si="105"/>
        <v>-104.60975037028339</v>
      </c>
      <c r="CQ69" s="40">
        <f t="shared" ref="CQ69:CQ74" si="109">ABS(1/SIN(RADIANS(CK69)))</f>
        <v>4.8294583973449559</v>
      </c>
      <c r="CR69" s="40">
        <f t="shared" si="80"/>
        <v>435.24319072983769</v>
      </c>
      <c r="CS69" s="41">
        <f>COS(RADIANS(CK69))*COS(RADIANS(CM69-Insolation!$L$6))*SIN(RADIANS(0))+(SIN(RADIANS(CK69))*COS(RADIANS(0)))</f>
        <v>0.20706255603107798</v>
      </c>
      <c r="CT69" s="41">
        <f>COS(RADIANS(CK69))*COS(RADIANS(CM69-Insolation!$L$6))*SIN(RADIANS(Insolation!$L$7))+SIN(RADIANS(CK69))*COS(RADIANS(Insolation!$L$7))</f>
        <v>9.2031540571079803E-2</v>
      </c>
      <c r="CU69" s="40">
        <f t="shared" si="81"/>
        <v>90.122567567642179</v>
      </c>
      <c r="CV69" s="40">
        <f t="shared" si="82"/>
        <v>51.214226343348535</v>
      </c>
      <c r="CW69" s="40">
        <f t="shared" si="83"/>
        <v>40.056101365939284</v>
      </c>
      <c r="CX69" s="40">
        <f>$CI$55*CR69*((1+COS(RADIANS(Insolation!$L$7)))/2)</f>
        <v>46.734728260766104</v>
      </c>
      <c r="CY69" s="40">
        <f t="shared" si="84"/>
        <v>412.04242683937389</v>
      </c>
      <c r="CZ69" s="40">
        <f t="shared" si="101"/>
        <v>22.556645784302773</v>
      </c>
      <c r="DA69" s="40">
        <f t="shared" si="85"/>
        <v>435.24319072983769</v>
      </c>
      <c r="DB69" s="40">
        <f t="shared" si="86"/>
        <v>30.909387477578225</v>
      </c>
      <c r="DE69" s="48">
        <v>18</v>
      </c>
      <c r="DF69" s="40">
        <f t="shared" si="87"/>
        <v>14.738048130875322</v>
      </c>
      <c r="DG69" s="181">
        <f t="shared" si="18"/>
        <v>-90</v>
      </c>
      <c r="DH69" s="40">
        <f t="shared" si="88"/>
        <v>-108.27008598134285</v>
      </c>
      <c r="DI69" s="40">
        <f t="shared" si="89"/>
        <v>-71.729914018657141</v>
      </c>
      <c r="DJ69" s="40">
        <f t="shared" si="90"/>
        <v>251.72991401865715</v>
      </c>
      <c r="DK69" s="40">
        <f t="shared" si="106"/>
        <v>-108.27008598134285</v>
      </c>
      <c r="DL69" s="40">
        <f t="shared" ref="DL69:DL74" si="110">ABS(1/SIN(RADIANS(DF69)))</f>
        <v>3.9308142509585817</v>
      </c>
      <c r="DM69" s="40">
        <f t="shared" si="93"/>
        <v>484.82337397021917</v>
      </c>
      <c r="DN69" s="41">
        <f>COS(RADIANS(DF69))*COS(RADIANS(DH69-Insolation!$L$6))*SIN(RADIANS(0))+(SIN(RADIANS(DF69))*COS(RADIANS(0)))</f>
        <v>0.25440021739926699</v>
      </c>
      <c r="DO69" s="41">
        <f>COS(RADIANS(DF69))*COS(RADIANS(DH69-Insolation!$L$6))*SIN(RADIANS(Insolation!$L$7))+SIN(RADIANS(DF69))*COS(RADIANS(Insolation!$L$7))</f>
        <v>9.7622419719365694E-2</v>
      </c>
      <c r="DP69" s="40">
        <f t="shared" si="94"/>
        <v>123.33917173826988</v>
      </c>
      <c r="DQ69" s="40">
        <f t="shared" si="95"/>
        <v>63.64788040559349</v>
      </c>
      <c r="DR69" s="40">
        <f t="shared" si="96"/>
        <v>47.329630903479732</v>
      </c>
      <c r="DS69" s="40">
        <f>$DD$55*DM69*((1+COS(RADIANS(Insolation!$L$7)))/2)</f>
        <v>58.080861657211663</v>
      </c>
      <c r="DT69" s="40">
        <f t="shared" si="97"/>
        <v>445.2360291563927</v>
      </c>
      <c r="DU69" s="40">
        <f t="shared" si="98"/>
        <v>27.078118590424875</v>
      </c>
      <c r="DV69" s="40">
        <f t="shared" si="99"/>
        <v>484.82337397021917</v>
      </c>
      <c r="DW69" s="40">
        <f t="shared" si="100"/>
        <v>39.91995750888951</v>
      </c>
    </row>
    <row r="70" spans="3:127" x14ac:dyDescent="0.15">
      <c r="D70" s="48">
        <v>18.5</v>
      </c>
      <c r="E70" s="40">
        <f t="shared" si="12"/>
        <v>-19.047528127700708</v>
      </c>
      <c r="F70" s="181">
        <f t="shared" si="13"/>
        <v>-97.5</v>
      </c>
      <c r="G70" s="40">
        <f t="shared" si="19"/>
        <v>-77.803335458325066</v>
      </c>
      <c r="H70" s="40">
        <f t="shared" si="20"/>
        <v>-77.803335458325066</v>
      </c>
      <c r="I70" s="40">
        <f t="shared" si="21"/>
        <v>257.80333545832508</v>
      </c>
      <c r="J70" s="40">
        <f t="shared" si="22"/>
        <v>-102.19666454167492</v>
      </c>
      <c r="K70" s="40">
        <f t="shared" si="23"/>
        <v>3.0641726198912438</v>
      </c>
      <c r="L70" s="40">
        <f t="shared" si="24"/>
        <v>0</v>
      </c>
      <c r="M70" s="41">
        <f>COS(RADIANS(E70))*COS(RADIANS(G70-Insolation!$L$6))*SIN(RADIANS(0))+(SIN(RADIANS(E70))*COS(RADIANS(0)))</f>
        <v>-0.32635237111266036</v>
      </c>
      <c r="N70" s="41">
        <f>COS(RADIANS(E70))*COS(RADIANS(G70-Insolation!$L$6))*SIN(RADIANS(Insolation!$L$7))+SIN(RADIANS(E70))*COS(RADIANS(Insolation!$L$7))</f>
        <v>-9.8819487525744182E-2</v>
      </c>
      <c r="O70" s="40">
        <f t="shared" si="25"/>
        <v>0</v>
      </c>
      <c r="P70" s="40">
        <f t="shared" si="26"/>
        <v>0</v>
      </c>
      <c r="Q70" s="40">
        <f t="shared" si="27"/>
        <v>0</v>
      </c>
      <c r="R70" s="40">
        <f>$C$55*L70*((1+COS(RADIANS(Insolation!$L$7)))/2)</f>
        <v>0</v>
      </c>
      <c r="S70" s="40">
        <f t="shared" si="28"/>
        <v>0</v>
      </c>
      <c r="T70" s="40">
        <f t="shared" si="29"/>
        <v>0</v>
      </c>
      <c r="U70" s="40">
        <f t="shared" si="30"/>
        <v>0</v>
      </c>
      <c r="V70" s="40">
        <f t="shared" si="31"/>
        <v>0</v>
      </c>
      <c r="Y70" s="48">
        <v>18.5</v>
      </c>
      <c r="Z70" s="40">
        <f t="shared" si="32"/>
        <v>-14.185741758716389</v>
      </c>
      <c r="AA70" s="181">
        <f t="shared" si="14"/>
        <v>-97.5</v>
      </c>
      <c r="AB70" s="40">
        <f t="shared" si="33"/>
        <v>-84.410330914537738</v>
      </c>
      <c r="AC70" s="40">
        <f t="shared" si="34"/>
        <v>-84.410330914537738</v>
      </c>
      <c r="AD70" s="40">
        <f t="shared" si="35"/>
        <v>264.41033091453772</v>
      </c>
      <c r="AE70" s="40">
        <f t="shared" si="102"/>
        <v>-95.589669085462276</v>
      </c>
      <c r="AF70" s="40">
        <f t="shared" si="37"/>
        <v>4.0805312651451366</v>
      </c>
      <c r="AG70" s="40">
        <f t="shared" si="38"/>
        <v>0</v>
      </c>
      <c r="AH70" s="41">
        <f>COS(RADIANS(Z70))*COS(RADIANS(AB70-Insolation!$L$6))*SIN(RADIANS(0))+(SIN(RADIANS(Z70))*COS(RADIANS(0)))</f>
        <v>-0.24506612865382174</v>
      </c>
      <c r="AI70" s="41">
        <f>COS(RADIANS(Z70))*COS(RADIANS(AB70-Insolation!$L$6))*SIN(RADIANS(Insolation!$L$7))+SIN(RADIANS(Z70))*COS(RADIANS(Insolation!$L$7))</f>
        <v>-8.8273407485891325E-2</v>
      </c>
      <c r="AJ70" s="40">
        <f t="shared" si="39"/>
        <v>0</v>
      </c>
      <c r="AK70" s="40">
        <f t="shared" si="40"/>
        <v>0</v>
      </c>
      <c r="AL70" s="40">
        <f t="shared" si="41"/>
        <v>0</v>
      </c>
      <c r="AM70" s="40">
        <f>$X$55*AG70*((1+COS(RADIANS(Insolation!$L$7)))/2)</f>
        <v>0</v>
      </c>
      <c r="AN70" s="40">
        <f t="shared" si="42"/>
        <v>0</v>
      </c>
      <c r="AO70" s="40">
        <f t="shared" si="43"/>
        <v>0</v>
      </c>
      <c r="AP70" s="40">
        <f t="shared" si="44"/>
        <v>0</v>
      </c>
      <c r="AQ70" s="40">
        <f t="shared" si="45"/>
        <v>0</v>
      </c>
      <c r="AT70" s="48">
        <v>18.5</v>
      </c>
      <c r="AU70" s="40">
        <f t="shared" si="46"/>
        <v>-7.5550920738109548</v>
      </c>
      <c r="AV70" s="181">
        <f t="shared" si="15"/>
        <v>-97.5</v>
      </c>
      <c r="AW70" s="40">
        <f t="shared" si="47"/>
        <v>-92.666925778624432</v>
      </c>
      <c r="AX70" s="40">
        <f t="shared" si="48"/>
        <v>-87.333074221375554</v>
      </c>
      <c r="AY70" s="40">
        <f t="shared" si="49"/>
        <v>267.33307422137557</v>
      </c>
      <c r="AZ70" s="40">
        <f t="shared" si="103"/>
        <v>-92.666925778624432</v>
      </c>
      <c r="BA70" s="40">
        <f t="shared" si="107"/>
        <v>7.6057516801977547</v>
      </c>
      <c r="BB70" s="40">
        <f t="shared" si="52"/>
        <v>0</v>
      </c>
      <c r="BC70" s="41">
        <f>COS(RADIANS(AU70))*COS(RADIANS(AW70-Insolation!$L$6))*SIN(RADIANS(0))+(SIN(RADIANS(AU70))*COS(RADIANS(0)))</f>
        <v>-0.13147944372199111</v>
      </c>
      <c r="BD70" s="41">
        <f>COS(RADIANS(AU70))*COS(RADIANS(AW70-Insolation!$L$6))*SIN(RADIANS(Insolation!$L$7))+SIN(RADIANS(AU70))*COS(RADIANS(Insolation!$L$7))</f>
        <v>-7.1880332418369317E-2</v>
      </c>
      <c r="BE70" s="40">
        <f t="shared" si="53"/>
        <v>0</v>
      </c>
      <c r="BF70" s="40">
        <f t="shared" si="54"/>
        <v>0</v>
      </c>
      <c r="BG70" s="40">
        <f t="shared" si="55"/>
        <v>0</v>
      </c>
      <c r="BH70" s="40">
        <f>$AS$55*BB70*((1+COS(RADIANS(Insolation!$L$7)))/2)</f>
        <v>0</v>
      </c>
      <c r="BI70" s="40">
        <f t="shared" si="56"/>
        <v>0</v>
      </c>
      <c r="BJ70" s="40">
        <f t="shared" si="57"/>
        <v>0</v>
      </c>
      <c r="BK70" s="40">
        <f t="shared" si="58"/>
        <v>0</v>
      </c>
      <c r="BL70" s="40">
        <f t="shared" si="59"/>
        <v>0</v>
      </c>
      <c r="BO70" s="48">
        <v>18.5</v>
      </c>
      <c r="BP70" s="40">
        <f t="shared" si="60"/>
        <v>0.37281257535495338</v>
      </c>
      <c r="BQ70" s="181">
        <f t="shared" si="16"/>
        <v>-97.5</v>
      </c>
      <c r="BR70" s="40">
        <f t="shared" si="61"/>
        <v>-102.01022497218418</v>
      </c>
      <c r="BS70" s="40">
        <f t="shared" si="62"/>
        <v>-77.989775027815824</v>
      </c>
      <c r="BT70" s="40">
        <f t="shared" si="63"/>
        <v>257.98977502781582</v>
      </c>
      <c r="BU70" s="40">
        <f t="shared" si="104"/>
        <v>-102.01022497218418</v>
      </c>
      <c r="BV70" s="40">
        <f t="shared" si="108"/>
        <v>153.68629602627962</v>
      </c>
      <c r="BW70" s="40">
        <f t="shared" si="66"/>
        <v>1.7536823894956626E-9</v>
      </c>
      <c r="BX70" s="41">
        <f>COS(RADIANS(BP70))*COS(RADIANS(BR70-Insolation!$L$6))*SIN(RADIANS(0))+(SIN(RADIANS(BP70))*COS(RADIANS(0)))</f>
        <v>6.5067610181001748E-3</v>
      </c>
      <c r="BY70" s="41">
        <f>COS(RADIANS(BP70))*COS(RADIANS(BR70-Insolation!$L$6))*SIN(RADIANS(Insolation!$L$7))+SIN(RADIANS(BP70))*COS(RADIANS(Insolation!$L$7))</f>
        <v>-4.9737279112209154E-2</v>
      </c>
      <c r="BZ70" s="40">
        <f t="shared" si="67"/>
        <v>1.1410792210099144E-11</v>
      </c>
      <c r="CA70" s="40">
        <f t="shared" si="68"/>
        <v>1.726300251485839E-10</v>
      </c>
      <c r="CB70" s="40">
        <f t="shared" si="69"/>
        <v>0</v>
      </c>
      <c r="CC70" s="40">
        <f>$BN$55*BW70*((1+COS(RADIANS(Insolation!$L$7)))/2)</f>
        <v>1.5753078570161977E-10</v>
      </c>
      <c r="CD70" s="40">
        <f t="shared" si="70"/>
        <v>1.7300597154178838E-9</v>
      </c>
      <c r="CE70" s="40">
        <f t="shared" si="71"/>
        <v>7.2749759999014231E-11</v>
      </c>
      <c r="CF70" s="40">
        <f t="shared" si="72"/>
        <v>1.7536823894956626E-9</v>
      </c>
      <c r="CG70" s="40">
        <f t="shared" si="73"/>
        <v>8.687664373338718E-11</v>
      </c>
      <c r="CJ70" s="48">
        <v>18.5</v>
      </c>
      <c r="CK70" s="40">
        <f t="shared" si="74"/>
        <v>6.4538927677148257</v>
      </c>
      <c r="CL70" s="181">
        <f t="shared" si="17"/>
        <v>-97.5</v>
      </c>
      <c r="CM70" s="40">
        <f t="shared" si="75"/>
        <v>-109.16418271464357</v>
      </c>
      <c r="CN70" s="40">
        <f t="shared" si="76"/>
        <v>-70.835817285356441</v>
      </c>
      <c r="CO70" s="40">
        <f t="shared" si="77"/>
        <v>250.83581728535643</v>
      </c>
      <c r="CP70" s="40">
        <f t="shared" si="105"/>
        <v>-109.16418271464357</v>
      </c>
      <c r="CQ70" s="40">
        <f t="shared" si="109"/>
        <v>8.8965100693339334</v>
      </c>
      <c r="CR70" s="40">
        <f t="shared" si="80"/>
        <v>197.86198787195701</v>
      </c>
      <c r="CS70" s="41">
        <f>COS(RADIANS(CK70))*COS(RADIANS(CM70-Insolation!$L$6))*SIN(RADIANS(0))+(SIN(RADIANS(CK70))*COS(RADIANS(0)))</f>
        <v>0.11240362706349057</v>
      </c>
      <c r="CT70" s="41">
        <f>COS(RADIANS(CK70))*COS(RADIANS(CM70-Insolation!$L$6))*SIN(RADIANS(Insolation!$L$7))+SIN(RADIANS(CK70))*COS(RADIANS(Insolation!$L$7))</f>
        <v>-3.1178449162069619E-2</v>
      </c>
      <c r="CU70" s="40">
        <f t="shared" si="81"/>
        <v>22.240405094800348</v>
      </c>
      <c r="CV70" s="40">
        <f t="shared" si="82"/>
        <v>23.282038289047509</v>
      </c>
      <c r="CW70" s="40">
        <f t="shared" si="83"/>
        <v>0</v>
      </c>
      <c r="CX70" s="40">
        <f>$CI$55*CR70*((1+COS(RADIANS(Insolation!$L$7)))/2)</f>
        <v>21.245654000525615</v>
      </c>
      <c r="CY70" s="40">
        <f t="shared" si="84"/>
        <v>187.31489750664326</v>
      </c>
      <c r="CZ70" s="40">
        <f t="shared" si="101"/>
        <v>9.1535805791219147</v>
      </c>
      <c r="DA70" s="40">
        <f t="shared" si="85"/>
        <v>197.86198787195701</v>
      </c>
      <c r="DB70" s="40">
        <f t="shared" si="86"/>
        <v>12.949511919083756</v>
      </c>
      <c r="DE70" s="48">
        <v>18.5</v>
      </c>
      <c r="DF70" s="40">
        <f t="shared" si="87"/>
        <v>9.3564340912551049</v>
      </c>
      <c r="DG70" s="181">
        <f t="shared" si="18"/>
        <v>-97.5</v>
      </c>
      <c r="DH70" s="40">
        <f t="shared" si="88"/>
        <v>-112.66603146321816</v>
      </c>
      <c r="DI70" s="40">
        <f t="shared" si="89"/>
        <v>-67.333968536781839</v>
      </c>
      <c r="DJ70" s="40">
        <f t="shared" si="90"/>
        <v>247.33396853678184</v>
      </c>
      <c r="DK70" s="40">
        <f t="shared" si="106"/>
        <v>-112.66603146321816</v>
      </c>
      <c r="DL70" s="40">
        <f t="shared" si="110"/>
        <v>6.1509785995555166</v>
      </c>
      <c r="DM70" s="40">
        <f t="shared" si="93"/>
        <v>307.0454738756635</v>
      </c>
      <c r="DN70" s="41">
        <f>COS(RADIANS(DF70))*COS(RADIANS(DH70-Insolation!$L$6))*SIN(RADIANS(0))+(SIN(RADIANS(DF70))*COS(RADIANS(0)))</f>
        <v>0.16257575665638996</v>
      </c>
      <c r="DO70" s="41">
        <f>COS(RADIANS(DF70))*COS(RADIANS(DH70-Insolation!$L$6))*SIN(RADIANS(Insolation!$L$7))+SIN(RADIANS(DF70))*COS(RADIANS(Insolation!$L$7))</f>
        <v>-2.1898168446762706E-2</v>
      </c>
      <c r="DP70" s="40">
        <f t="shared" si="94"/>
        <v>49.918150243255809</v>
      </c>
      <c r="DQ70" s="40">
        <f t="shared" si="95"/>
        <v>40.309099456738338</v>
      </c>
      <c r="DR70" s="40">
        <f t="shared" si="96"/>
        <v>0</v>
      </c>
      <c r="DS70" s="40">
        <f>$DD$55*DM70*((1+COS(RADIANS(Insolation!$L$7)))/2)</f>
        <v>36.783428044335274</v>
      </c>
      <c r="DT70" s="40">
        <f t="shared" si="97"/>
        <v>281.97425062109477</v>
      </c>
      <c r="DU70" s="40">
        <f t="shared" si="98"/>
        <v>15.293067618447379</v>
      </c>
      <c r="DV70" s="40">
        <f t="shared" si="99"/>
        <v>307.0454738756635</v>
      </c>
      <c r="DW70" s="40">
        <f t="shared" si="100"/>
        <v>23.431190900527628</v>
      </c>
    </row>
    <row r="71" spans="3:127" x14ac:dyDescent="0.15">
      <c r="D71" s="48">
        <v>19</v>
      </c>
      <c r="E71" s="40">
        <f t="shared" si="12"/>
        <v>-24.70435666319397</v>
      </c>
      <c r="F71" s="181">
        <f t="shared" si="13"/>
        <v>-105</v>
      </c>
      <c r="G71" s="40">
        <f t="shared" si="19"/>
        <v>-82.228117474756274</v>
      </c>
      <c r="H71" s="40">
        <f t="shared" si="20"/>
        <v>-82.228117474756274</v>
      </c>
      <c r="I71" s="40">
        <f t="shared" si="21"/>
        <v>262.22811747475629</v>
      </c>
      <c r="J71" s="40">
        <f t="shared" si="22"/>
        <v>-97.771882525243711</v>
      </c>
      <c r="K71" s="40">
        <f t="shared" si="23"/>
        <v>2.3927099649118548</v>
      </c>
      <c r="L71" s="40">
        <f t="shared" si="24"/>
        <v>0</v>
      </c>
      <c r="M71" s="41">
        <f>COS(RADIANS(E71))*COS(RADIANS(G71-Insolation!$L$6))*SIN(RADIANS(0))+(SIN(RADIANS(E71))*COS(RADIANS(0)))</f>
        <v>-0.41793615384422034</v>
      </c>
      <c r="N71" s="41">
        <f>COS(RADIANS(E71))*COS(RADIANS(G71-Insolation!$L$6))*SIN(RADIANS(Insolation!$L$7))+SIN(RADIANS(E71))*COS(RADIANS(Insolation!$L$7))</f>
        <v>-0.21903315113522201</v>
      </c>
      <c r="O71" s="40">
        <f t="shared" si="25"/>
        <v>0</v>
      </c>
      <c r="P71" s="40">
        <f t="shared" si="26"/>
        <v>0</v>
      </c>
      <c r="Q71" s="40">
        <f t="shared" si="27"/>
        <v>0</v>
      </c>
      <c r="R71" s="40">
        <f>$C$55*L71*((1+COS(RADIANS(Insolation!$L$7)))/2)</f>
        <v>0</v>
      </c>
      <c r="S71" s="40">
        <f t="shared" si="28"/>
        <v>0</v>
      </c>
      <c r="T71" s="40">
        <f t="shared" si="29"/>
        <v>0</v>
      </c>
      <c r="U71" s="40">
        <f t="shared" si="30"/>
        <v>0</v>
      </c>
      <c r="V71" s="40">
        <f t="shared" si="31"/>
        <v>0</v>
      </c>
      <c r="Y71" s="48">
        <v>19</v>
      </c>
      <c r="Z71" s="40">
        <f t="shared" si="32"/>
        <v>-19.92028968963599</v>
      </c>
      <c r="AA71" s="181">
        <f t="shared" si="14"/>
        <v>-105</v>
      </c>
      <c r="AB71" s="40">
        <f t="shared" si="33"/>
        <v>-89.136026181326258</v>
      </c>
      <c r="AC71" s="40">
        <f t="shared" si="34"/>
        <v>-89.136026181326258</v>
      </c>
      <c r="AD71" s="40">
        <f t="shared" si="35"/>
        <v>269.13602618132626</v>
      </c>
      <c r="AE71" s="40">
        <f t="shared" si="102"/>
        <v>-90.863973818673742</v>
      </c>
      <c r="AF71" s="40">
        <f t="shared" si="37"/>
        <v>2.9350258177858763</v>
      </c>
      <c r="AG71" s="40">
        <f t="shared" si="38"/>
        <v>0</v>
      </c>
      <c r="AH71" s="41">
        <f>COS(RADIANS(Z71))*COS(RADIANS(AB71-Insolation!$L$6))*SIN(RADIANS(0))+(SIN(RADIANS(Z71))*COS(RADIANS(0)))</f>
        <v>-0.34071250547103521</v>
      </c>
      <c r="AI71" s="41">
        <f>COS(RADIANS(Z71))*COS(RADIANS(AB71-Insolation!$L$6))*SIN(RADIANS(Insolation!$L$7))+SIN(RADIANS(Z71))*COS(RADIANS(Insolation!$L$7))</f>
        <v>-0.2138196671536248</v>
      </c>
      <c r="AJ71" s="40">
        <f t="shared" si="39"/>
        <v>0</v>
      </c>
      <c r="AK71" s="40">
        <f t="shared" si="40"/>
        <v>0</v>
      </c>
      <c r="AL71" s="40">
        <f t="shared" si="41"/>
        <v>0</v>
      </c>
      <c r="AM71" s="40">
        <f>$X$55*AG71*((1+COS(RADIANS(Insolation!$L$7)))/2)</f>
        <v>0</v>
      </c>
      <c r="AN71" s="40">
        <f t="shared" si="42"/>
        <v>0</v>
      </c>
      <c r="AO71" s="40">
        <f t="shared" si="43"/>
        <v>0</v>
      </c>
      <c r="AP71" s="40">
        <f t="shared" si="44"/>
        <v>0</v>
      </c>
      <c r="AQ71" s="40">
        <f t="shared" si="45"/>
        <v>0</v>
      </c>
      <c r="AT71" s="48">
        <v>19</v>
      </c>
      <c r="AU71" s="40">
        <f t="shared" si="46"/>
        <v>-13.275792799130997</v>
      </c>
      <c r="AV71" s="181">
        <f t="shared" si="15"/>
        <v>-105</v>
      </c>
      <c r="AW71" s="40">
        <f t="shared" si="47"/>
        <v>-97.586293077351797</v>
      </c>
      <c r="AX71" s="40">
        <f t="shared" si="48"/>
        <v>-82.413706922648217</v>
      </c>
      <c r="AY71" s="40">
        <f t="shared" si="49"/>
        <v>262.4137069226482</v>
      </c>
      <c r="AZ71" s="40">
        <f t="shared" si="103"/>
        <v>-97.586293077351797</v>
      </c>
      <c r="BA71" s="40">
        <f t="shared" si="107"/>
        <v>4.3546694857992589</v>
      </c>
      <c r="BB71" s="40">
        <f t="shared" si="52"/>
        <v>0</v>
      </c>
      <c r="BC71" s="41">
        <f>COS(RADIANS(AU71))*COS(RADIANS(AW71-Insolation!$L$6))*SIN(RADIANS(0))+(SIN(RADIANS(AU71))*COS(RADIANS(0)))</f>
        <v>-0.22963855311201864</v>
      </c>
      <c r="BD71" s="41">
        <f>COS(RADIANS(AU71))*COS(RADIANS(AW71-Insolation!$L$6))*SIN(RADIANS(Insolation!$L$7))+SIN(RADIANS(AU71))*COS(RADIANS(Insolation!$L$7))</f>
        <v>-0.20072482654682777</v>
      </c>
      <c r="BE71" s="40">
        <f t="shared" si="53"/>
        <v>0</v>
      </c>
      <c r="BF71" s="40">
        <f t="shared" si="54"/>
        <v>0</v>
      </c>
      <c r="BG71" s="40">
        <f t="shared" si="55"/>
        <v>0</v>
      </c>
      <c r="BH71" s="40">
        <f>$AS$55*BB71*((1+COS(RADIANS(Insolation!$L$7)))/2)</f>
        <v>0</v>
      </c>
      <c r="BI71" s="40">
        <f t="shared" si="56"/>
        <v>0</v>
      </c>
      <c r="BJ71" s="40">
        <f t="shared" si="57"/>
        <v>0</v>
      </c>
      <c r="BK71" s="40">
        <f t="shared" si="58"/>
        <v>0</v>
      </c>
      <c r="BL71" s="40">
        <f t="shared" si="59"/>
        <v>0</v>
      </c>
      <c r="BO71" s="48">
        <v>19</v>
      </c>
      <c r="BP71" s="40">
        <f t="shared" si="60"/>
        <v>-5.189347863427094</v>
      </c>
      <c r="BQ71" s="181">
        <f t="shared" si="16"/>
        <v>-105</v>
      </c>
      <c r="BR71" s="40">
        <f t="shared" si="61"/>
        <v>-106.89551415740908</v>
      </c>
      <c r="BS71" s="40">
        <f t="shared" si="62"/>
        <v>-73.104485842590918</v>
      </c>
      <c r="BT71" s="40">
        <f t="shared" si="63"/>
        <v>253.10448584259092</v>
      </c>
      <c r="BU71" s="40">
        <f t="shared" si="104"/>
        <v>-106.89551415740908</v>
      </c>
      <c r="BV71" s="40">
        <f t="shared" si="108"/>
        <v>11.056146226022237</v>
      </c>
      <c r="BW71" s="40">
        <f t="shared" si="66"/>
        <v>0</v>
      </c>
      <c r="BX71" s="41">
        <f>COS(RADIANS(BP71))*COS(RADIANS(BR71-Insolation!$L$6))*SIN(RADIANS(0))+(SIN(RADIANS(BP71))*COS(RADIANS(0)))</f>
        <v>-9.0447428928386961E-2</v>
      </c>
      <c r="BY71" s="41">
        <f>COS(RADIANS(BP71))*COS(RADIANS(BR71-Insolation!$L$6))*SIN(RADIANS(Insolation!$L$7))+SIN(RADIANS(BP71))*COS(RADIANS(Insolation!$L$7))</f>
        <v>-0.17700018558025415</v>
      </c>
      <c r="BZ71" s="40">
        <f t="shared" si="67"/>
        <v>0</v>
      </c>
      <c r="CA71" s="40">
        <f t="shared" si="68"/>
        <v>0</v>
      </c>
      <c r="CB71" s="40">
        <f t="shared" si="69"/>
        <v>0</v>
      </c>
      <c r="CC71" s="40">
        <f>$BN$55*BW71*((1+COS(RADIANS(Insolation!$L$7)))/2)</f>
        <v>0</v>
      </c>
      <c r="CD71" s="40">
        <f t="shared" si="70"/>
        <v>0</v>
      </c>
      <c r="CE71" s="40">
        <f t="shared" si="71"/>
        <v>0</v>
      </c>
      <c r="CF71" s="40">
        <f t="shared" si="72"/>
        <v>0</v>
      </c>
      <c r="CG71" s="40">
        <f t="shared" si="73"/>
        <v>0</v>
      </c>
      <c r="CJ71" s="48">
        <v>19</v>
      </c>
      <c r="CK71" s="40">
        <f t="shared" si="74"/>
        <v>1.1095642266913308</v>
      </c>
      <c r="CL71" s="181">
        <f t="shared" si="17"/>
        <v>-105</v>
      </c>
      <c r="CM71" s="40">
        <f t="shared" si="75"/>
        <v>-113.84982904211211</v>
      </c>
      <c r="CN71" s="40">
        <f t="shared" si="76"/>
        <v>-66.150170957887894</v>
      </c>
      <c r="CO71" s="40">
        <f t="shared" si="77"/>
        <v>246.15017095788789</v>
      </c>
      <c r="CP71" s="40">
        <f t="shared" si="105"/>
        <v>-113.84982904211211</v>
      </c>
      <c r="CQ71" s="40">
        <f t="shared" si="109"/>
        <v>51.64131963835144</v>
      </c>
      <c r="CR71" s="40">
        <f t="shared" si="80"/>
        <v>4.9894142831940221E-2</v>
      </c>
      <c r="CS71" s="41">
        <f>COS(RADIANS(CK71))*COS(RADIANS(CM71-Insolation!$L$6))*SIN(RADIANS(0))+(SIN(RADIANS(CK71))*COS(RADIANS(0)))</f>
        <v>1.9364338614951848E-2</v>
      </c>
      <c r="CT71" s="41">
        <f>COS(RADIANS(CK71))*COS(RADIANS(CM71-Insolation!$L$6))*SIN(RADIANS(Insolation!$L$7))+SIN(RADIANS(CK71))*COS(RADIANS(Insolation!$L$7))</f>
        <v>-0.15330262213711113</v>
      </c>
      <c r="CU71" s="40">
        <f t="shared" si="81"/>
        <v>9.6616707670046302E-4</v>
      </c>
      <c r="CV71" s="40">
        <f t="shared" si="82"/>
        <v>5.8709475038943373E-3</v>
      </c>
      <c r="CW71" s="40">
        <f t="shared" si="83"/>
        <v>0</v>
      </c>
      <c r="CX71" s="40">
        <f>$CI$55*CR71*((1+COS(RADIANS(Insolation!$L$7)))/2)</f>
        <v>5.3574398329920246E-3</v>
      </c>
      <c r="CY71" s="40">
        <f t="shared" si="84"/>
        <v>4.7234521149129217E-2</v>
      </c>
      <c r="CZ71" s="40">
        <f t="shared" si="101"/>
        <v>2.043854031038204E-3</v>
      </c>
      <c r="DA71" s="40">
        <f t="shared" si="85"/>
        <v>4.9894142831940221E-2</v>
      </c>
      <c r="DB71" s="40">
        <f t="shared" si="86"/>
        <v>2.9923172596751767E-3</v>
      </c>
      <c r="DE71" s="48">
        <v>19</v>
      </c>
      <c r="DF71" s="40">
        <f t="shared" si="87"/>
        <v>4.1473913407007794</v>
      </c>
      <c r="DG71" s="181">
        <f t="shared" si="18"/>
        <v>-105</v>
      </c>
      <c r="DH71" s="40">
        <f t="shared" si="88"/>
        <v>-117.20405910056257</v>
      </c>
      <c r="DI71" s="40">
        <f t="shared" si="89"/>
        <v>-62.795940899437433</v>
      </c>
      <c r="DJ71" s="40">
        <f t="shared" si="90"/>
        <v>242.79594089943743</v>
      </c>
      <c r="DK71" s="40">
        <f t="shared" si="106"/>
        <v>-117.20405910056257</v>
      </c>
      <c r="DL71" s="40">
        <f t="shared" si="110"/>
        <v>13.826967523504447</v>
      </c>
      <c r="DM71" s="40">
        <f t="shared" si="93"/>
        <v>63.288004441067251</v>
      </c>
      <c r="DN71" s="41">
        <f>COS(RADIANS(DF71))*COS(RADIANS(DH71-Insolation!$L$6))*SIN(RADIANS(0))+(SIN(RADIANS(DF71))*COS(RADIANS(0)))</f>
        <v>7.2322437895373737E-2</v>
      </c>
      <c r="DO71" s="41">
        <f>COS(RADIANS(DF71))*COS(RADIANS(DH71-Insolation!$L$6))*SIN(RADIANS(Insolation!$L$7))+SIN(RADIANS(DF71))*COS(RADIANS(Insolation!$L$7))</f>
        <v>-0.14036545356619301</v>
      </c>
      <c r="DP71" s="40">
        <f t="shared" si="94"/>
        <v>4.5771427707112231</v>
      </c>
      <c r="DQ71" s="40">
        <f t="shared" si="95"/>
        <v>8.3084841904118907</v>
      </c>
      <c r="DR71" s="40">
        <f t="shared" si="96"/>
        <v>0</v>
      </c>
      <c r="DS71" s="40">
        <f>$DD$55*DM71*((1+COS(RADIANS(Insolation!$L$7)))/2)</f>
        <v>7.5817751945441803</v>
      </c>
      <c r="DT71" s="40">
        <f t="shared" si="97"/>
        <v>58.12034093946923</v>
      </c>
      <c r="DU71" s="40">
        <f t="shared" si="98"/>
        <v>2.7903089644990549</v>
      </c>
      <c r="DV71" s="40">
        <f t="shared" si="99"/>
        <v>63.288004441067251</v>
      </c>
      <c r="DW71" s="40">
        <f t="shared" si="100"/>
        <v>4.4546870111388248</v>
      </c>
    </row>
    <row r="72" spans="3:127" x14ac:dyDescent="0.15">
      <c r="D72" s="48">
        <v>19.5</v>
      </c>
      <c r="E72" s="40">
        <f t="shared" si="12"/>
        <v>-30.421581504502917</v>
      </c>
      <c r="F72" s="181">
        <f t="shared" si="13"/>
        <v>-112.5</v>
      </c>
      <c r="G72" s="40">
        <f t="shared" si="19"/>
        <v>-86.765311039113953</v>
      </c>
      <c r="H72" s="40">
        <f t="shared" si="20"/>
        <v>-86.765311039113953</v>
      </c>
      <c r="I72" s="40">
        <f t="shared" si="21"/>
        <v>266.76531103911395</v>
      </c>
      <c r="J72" s="40">
        <f t="shared" si="22"/>
        <v>-93.234688960886047</v>
      </c>
      <c r="K72" s="40">
        <f t="shared" si="23"/>
        <v>1.9748849544179266</v>
      </c>
      <c r="L72" s="40">
        <f t="shared" si="24"/>
        <v>0</v>
      </c>
      <c r="M72" s="41">
        <f>COS(RADIANS(E72))*COS(RADIANS(G72-Insolation!$L$6))*SIN(RADIANS(0))+(SIN(RADIANS(E72))*COS(RADIANS(0)))</f>
        <v>-0.50635860978278502</v>
      </c>
      <c r="N72" s="41">
        <f>COS(RADIANS(E72))*COS(RADIANS(G72-Insolation!$L$6))*SIN(RADIANS(Insolation!$L$7))+SIN(RADIANS(E72))*COS(RADIANS(Insolation!$L$7))</f>
        <v>-0.33612109537943285</v>
      </c>
      <c r="O72" s="40">
        <f t="shared" si="25"/>
        <v>0</v>
      </c>
      <c r="P72" s="40">
        <f t="shared" si="26"/>
        <v>0</v>
      </c>
      <c r="Q72" s="40">
        <f t="shared" si="27"/>
        <v>0</v>
      </c>
      <c r="R72" s="40">
        <f>$C$55*L72*((1+COS(RADIANS(Insolation!$L$7)))/2)</f>
        <v>0</v>
      </c>
      <c r="S72" s="40">
        <f t="shared" si="28"/>
        <v>0</v>
      </c>
      <c r="T72" s="40">
        <f t="shared" si="29"/>
        <v>0</v>
      </c>
      <c r="U72" s="40">
        <f t="shared" si="30"/>
        <v>0</v>
      </c>
      <c r="V72" s="40">
        <f t="shared" si="31"/>
        <v>0</v>
      </c>
      <c r="Y72" s="48">
        <v>19.5</v>
      </c>
      <c r="Z72" s="40">
        <f t="shared" si="32"/>
        <v>-25.661742486674878</v>
      </c>
      <c r="AA72" s="181">
        <f t="shared" si="14"/>
        <v>-112.5</v>
      </c>
      <c r="AB72" s="40">
        <f t="shared" si="33"/>
        <v>-94.027651097961495</v>
      </c>
      <c r="AC72" s="40">
        <f t="shared" si="34"/>
        <v>-85.972348902038519</v>
      </c>
      <c r="AD72" s="40">
        <f t="shared" si="35"/>
        <v>265.9723489020385</v>
      </c>
      <c r="AE72" s="40">
        <f t="shared" si="102"/>
        <v>-94.027651097961495</v>
      </c>
      <c r="AF72" s="40">
        <f t="shared" si="37"/>
        <v>2.3091631316534951</v>
      </c>
      <c r="AG72" s="40">
        <f t="shared" si="38"/>
        <v>0</v>
      </c>
      <c r="AH72" s="41">
        <f>COS(RADIANS(Z72))*COS(RADIANS(AB72-Insolation!$L$6))*SIN(RADIANS(0))+(SIN(RADIANS(Z72))*COS(RADIANS(0)))</f>
        <v>-0.43305732119668039</v>
      </c>
      <c r="AI72" s="41">
        <f>COS(RADIANS(Z72))*COS(RADIANS(AB72-Insolation!$L$6))*SIN(RADIANS(Insolation!$L$7))+SIN(RADIANS(Z72))*COS(RADIANS(Insolation!$L$7))</f>
        <v>-0.33610155267871122</v>
      </c>
      <c r="AJ72" s="40">
        <f t="shared" si="39"/>
        <v>0</v>
      </c>
      <c r="AK72" s="40">
        <f t="shared" si="40"/>
        <v>0</v>
      </c>
      <c r="AL72" s="40">
        <f t="shared" si="41"/>
        <v>0</v>
      </c>
      <c r="AM72" s="40">
        <f>$X$55*AG72*((1+COS(RADIANS(Insolation!$L$7)))/2)</f>
        <v>0</v>
      </c>
      <c r="AN72" s="40">
        <f t="shared" si="42"/>
        <v>0</v>
      </c>
      <c r="AO72" s="40">
        <f t="shared" si="43"/>
        <v>0</v>
      </c>
      <c r="AP72" s="40">
        <f t="shared" si="44"/>
        <v>0</v>
      </c>
      <c r="AQ72" s="40">
        <f t="shared" si="45"/>
        <v>0</v>
      </c>
      <c r="AT72" s="48">
        <v>19.5</v>
      </c>
      <c r="AU72" s="40">
        <f t="shared" si="46"/>
        <v>-18.929795446962466</v>
      </c>
      <c r="AV72" s="181">
        <f t="shared" si="15"/>
        <v>-112.5</v>
      </c>
      <c r="AW72" s="40">
        <f t="shared" si="47"/>
        <v>-102.70354610420503</v>
      </c>
      <c r="AX72" s="40">
        <f t="shared" si="48"/>
        <v>-77.296453895794983</v>
      </c>
      <c r="AY72" s="40">
        <f t="shared" si="49"/>
        <v>257.29645389579497</v>
      </c>
      <c r="AZ72" s="40">
        <f t="shared" si="103"/>
        <v>-102.70354610420503</v>
      </c>
      <c r="BA72" s="40">
        <f t="shared" si="107"/>
        <v>3.0825250600124821</v>
      </c>
      <c r="BB72" s="40">
        <f t="shared" si="52"/>
        <v>0</v>
      </c>
      <c r="BC72" s="41">
        <f>COS(RADIANS(AU72))*COS(RADIANS(AW72-Insolation!$L$6))*SIN(RADIANS(0))+(SIN(RADIANS(AU72))*COS(RADIANS(0)))</f>
        <v>-0.32440936587096253</v>
      </c>
      <c r="BD72" s="41">
        <f>COS(RADIANS(AU72))*COS(RADIANS(AW72-Insolation!$L$6))*SIN(RADIANS(Insolation!$L$7))+SIN(RADIANS(AU72))*COS(RADIANS(Insolation!$L$7))</f>
        <v>-0.32621918793402832</v>
      </c>
      <c r="BE72" s="40">
        <f t="shared" si="53"/>
        <v>0</v>
      </c>
      <c r="BF72" s="40">
        <f t="shared" si="54"/>
        <v>0</v>
      </c>
      <c r="BG72" s="40">
        <f t="shared" si="55"/>
        <v>0</v>
      </c>
      <c r="BH72" s="40">
        <f>$AS$55*BB72*((1+COS(RADIANS(Insolation!$L$7)))/2)</f>
        <v>0</v>
      </c>
      <c r="BI72" s="40">
        <f t="shared" si="56"/>
        <v>0</v>
      </c>
      <c r="BJ72" s="40">
        <f t="shared" si="57"/>
        <v>0</v>
      </c>
      <c r="BK72" s="40">
        <f t="shared" si="58"/>
        <v>0</v>
      </c>
      <c r="BL72" s="40">
        <f t="shared" si="59"/>
        <v>0</v>
      </c>
      <c r="BO72" s="48">
        <v>19.5</v>
      </c>
      <c r="BP72" s="40">
        <f t="shared" si="60"/>
        <v>-10.606036828492286</v>
      </c>
      <c r="BQ72" s="181">
        <f t="shared" si="16"/>
        <v>-112.5</v>
      </c>
      <c r="BR72" s="40">
        <f t="shared" si="61"/>
        <v>-111.98587223733307</v>
      </c>
      <c r="BS72" s="40">
        <f t="shared" si="62"/>
        <v>-68.014127762666917</v>
      </c>
      <c r="BT72" s="40">
        <f t="shared" si="63"/>
        <v>248.01412776266693</v>
      </c>
      <c r="BU72" s="40">
        <f t="shared" si="104"/>
        <v>-111.98587223733307</v>
      </c>
      <c r="BV72" s="40">
        <f t="shared" si="108"/>
        <v>5.4331611009523151</v>
      </c>
      <c r="BW72" s="40">
        <f t="shared" si="66"/>
        <v>0</v>
      </c>
      <c r="BX72" s="41">
        <f>COS(RADIANS(BP72))*COS(RADIANS(BR72-Insolation!$L$6))*SIN(RADIANS(0))+(SIN(RADIANS(BP72))*COS(RADIANS(0)))</f>
        <v>-0.18405491415020286</v>
      </c>
      <c r="BY72" s="41">
        <f>COS(RADIANS(BP72))*COS(RADIANS(BR72-Insolation!$L$6))*SIN(RADIANS(Insolation!$L$7))+SIN(RADIANS(BP72))*COS(RADIANS(Insolation!$L$7))</f>
        <v>-0.30095408274533769</v>
      </c>
      <c r="BZ72" s="40">
        <f t="shared" si="67"/>
        <v>0</v>
      </c>
      <c r="CA72" s="40">
        <f t="shared" si="68"/>
        <v>0</v>
      </c>
      <c r="CB72" s="40">
        <f t="shared" si="69"/>
        <v>0</v>
      </c>
      <c r="CC72" s="40">
        <f>$BN$55*BW72*((1+COS(RADIANS(Insolation!$L$7)))/2)</f>
        <v>0</v>
      </c>
      <c r="CD72" s="40">
        <f t="shared" si="70"/>
        <v>0</v>
      </c>
      <c r="CE72" s="40">
        <f t="shared" si="71"/>
        <v>0</v>
      </c>
      <c r="CF72" s="40">
        <f t="shared" si="72"/>
        <v>0</v>
      </c>
      <c r="CG72" s="40">
        <f t="shared" si="73"/>
        <v>0</v>
      </c>
      <c r="CJ72" s="48">
        <v>19.5</v>
      </c>
      <c r="CK72" s="40">
        <f t="shared" si="74"/>
        <v>-4.0406027322664038</v>
      </c>
      <c r="CL72" s="181">
        <f t="shared" si="17"/>
        <v>-112.5</v>
      </c>
      <c r="CM72" s="40">
        <f t="shared" si="75"/>
        <v>-118.73992755360695</v>
      </c>
      <c r="CN72" s="40">
        <f t="shared" si="76"/>
        <v>-61.260072446393046</v>
      </c>
      <c r="CO72" s="40">
        <f t="shared" si="77"/>
        <v>241.26007244639305</v>
      </c>
      <c r="CP72" s="40">
        <f t="shared" si="105"/>
        <v>-118.73992755360695</v>
      </c>
      <c r="CQ72" s="40">
        <f t="shared" si="109"/>
        <v>14.191768570261802</v>
      </c>
      <c r="CR72" s="40">
        <f t="shared" si="80"/>
        <v>0</v>
      </c>
      <c r="CS72" s="41">
        <f>COS(RADIANS(CK72))*COS(RADIANS(CM72-Insolation!$L$6))*SIN(RADIANS(0))+(SIN(RADIANS(CK72))*COS(RADIANS(0)))</f>
        <v>-7.0463381293819433E-2</v>
      </c>
      <c r="CT72" s="41">
        <f>COS(RADIANS(CK72))*COS(RADIANS(CM72-Insolation!$L$6))*SIN(RADIANS(Insolation!$L$7))+SIN(RADIANS(CK72))*COS(RADIANS(Insolation!$L$7))</f>
        <v>-0.27225139989522529</v>
      </c>
      <c r="CU72" s="40">
        <f t="shared" si="81"/>
        <v>0</v>
      </c>
      <c r="CV72" s="40">
        <f t="shared" si="82"/>
        <v>0</v>
      </c>
      <c r="CW72" s="40">
        <f t="shared" si="83"/>
        <v>0</v>
      </c>
      <c r="CX72" s="40">
        <f>$CI$55*CR72*((1+COS(RADIANS(Insolation!$L$7)))/2)</f>
        <v>0</v>
      </c>
      <c r="CY72" s="40">
        <f t="shared" si="84"/>
        <v>0</v>
      </c>
      <c r="CZ72" s="40">
        <f t="shared" si="101"/>
        <v>0</v>
      </c>
      <c r="DA72" s="40">
        <f t="shared" si="85"/>
        <v>0</v>
      </c>
      <c r="DB72" s="40">
        <f t="shared" si="86"/>
        <v>0</v>
      </c>
      <c r="DE72" s="48">
        <v>19.5</v>
      </c>
      <c r="DF72" s="40">
        <f t="shared" si="87"/>
        <v>-0.84889550835232597</v>
      </c>
      <c r="DG72" s="181">
        <f t="shared" si="18"/>
        <v>-112.5</v>
      </c>
      <c r="DH72" s="40">
        <f t="shared" si="88"/>
        <v>-121.94731523336603</v>
      </c>
      <c r="DI72" s="40">
        <f t="shared" si="89"/>
        <v>-58.052684766633973</v>
      </c>
      <c r="DJ72" s="40">
        <f t="shared" si="90"/>
        <v>238.05268476663397</v>
      </c>
      <c r="DK72" s="40">
        <f t="shared" si="106"/>
        <v>-121.94731523336603</v>
      </c>
      <c r="DL72" s="40">
        <f t="shared" si="110"/>
        <v>67.496971313955413</v>
      </c>
      <c r="DM72" s="40">
        <f t="shared" si="93"/>
        <v>0</v>
      </c>
      <c r="DN72" s="41">
        <f>COS(RADIANS(DF72))*COS(RADIANS(DH72-Insolation!$L$6))*SIN(RADIANS(0))+(SIN(RADIANS(DF72))*COS(RADIANS(0)))</f>
        <v>-1.4815479576833159E-2</v>
      </c>
      <c r="DO72" s="41">
        <f>COS(RADIANS(DF72))*COS(RADIANS(DH72-Insolation!$L$6))*SIN(RADIANS(Insolation!$L$7))+SIN(RADIANS(DF72))*COS(RADIANS(Insolation!$L$7))</f>
        <v>-0.25575242754519451</v>
      </c>
      <c r="DP72" s="40">
        <f t="shared" si="94"/>
        <v>0</v>
      </c>
      <c r="DQ72" s="40">
        <f t="shared" si="95"/>
        <v>0</v>
      </c>
      <c r="DR72" s="40">
        <f t="shared" si="96"/>
        <v>0</v>
      </c>
      <c r="DS72" s="40">
        <f>$DD$55*DM72*((1+COS(RADIANS(Insolation!$L$7)))/2)</f>
        <v>0</v>
      </c>
      <c r="DT72" s="40">
        <f t="shared" si="97"/>
        <v>0</v>
      </c>
      <c r="DU72" s="40">
        <f t="shared" si="98"/>
        <v>0</v>
      </c>
      <c r="DV72" s="40">
        <f t="shared" si="99"/>
        <v>0</v>
      </c>
      <c r="DW72" s="40">
        <f t="shared" si="100"/>
        <v>0</v>
      </c>
    </row>
    <row r="73" spans="3:127" x14ac:dyDescent="0.15">
      <c r="D73" s="48">
        <v>20</v>
      </c>
      <c r="E73" s="40">
        <f t="shared" si="12"/>
        <v>-36.16458785822519</v>
      </c>
      <c r="F73" s="181">
        <f t="shared" si="13"/>
        <v>-120</v>
      </c>
      <c r="G73" s="40">
        <f t="shared" si="19"/>
        <v>-91.53424392868817</v>
      </c>
      <c r="H73" s="40">
        <f t="shared" si="20"/>
        <v>-88.465756071311858</v>
      </c>
      <c r="I73" s="40">
        <f t="shared" si="21"/>
        <v>268.46575607131183</v>
      </c>
      <c r="J73" s="40">
        <f t="shared" si="22"/>
        <v>-91.53424392868817</v>
      </c>
      <c r="K73" s="40">
        <f t="shared" si="23"/>
        <v>1.6946084835950668</v>
      </c>
      <c r="L73" s="40">
        <f t="shared" si="24"/>
        <v>0</v>
      </c>
      <c r="M73" s="41">
        <f>COS(RADIANS(E73))*COS(RADIANS(G73-Insolation!$L$6))*SIN(RADIANS(0))+(SIN(RADIANS(E73))*COS(RADIANS(0)))</f>
        <v>-0.59010680619190969</v>
      </c>
      <c r="N73" s="41">
        <f>COS(RADIANS(E73))*COS(RADIANS(G73-Insolation!$L$6))*SIN(RADIANS(Insolation!$L$7))+SIN(RADIANS(E73))*COS(RADIANS(Insolation!$L$7))</f>
        <v>-0.44807991306945788</v>
      </c>
      <c r="O73" s="40">
        <f t="shared" si="25"/>
        <v>0</v>
      </c>
      <c r="P73" s="40">
        <f t="shared" si="26"/>
        <v>0</v>
      </c>
      <c r="Q73" s="40">
        <f t="shared" si="27"/>
        <v>0</v>
      </c>
      <c r="R73" s="40">
        <f>$C$55*L73*((1+COS(RADIANS(Insolation!$L$7)))/2)</f>
        <v>0</v>
      </c>
      <c r="S73" s="40">
        <f t="shared" si="28"/>
        <v>0</v>
      </c>
      <c r="T73" s="40">
        <f t="shared" si="29"/>
        <v>0</v>
      </c>
      <c r="U73" s="40">
        <f t="shared" si="30"/>
        <v>0</v>
      </c>
      <c r="V73" s="40">
        <f t="shared" si="31"/>
        <v>0</v>
      </c>
      <c r="Y73" s="48">
        <v>20</v>
      </c>
      <c r="Z73" s="40">
        <f t="shared" si="32"/>
        <v>-31.367174128421119</v>
      </c>
      <c r="AA73" s="181">
        <f t="shared" si="14"/>
        <v>-120</v>
      </c>
      <c r="AB73" s="40">
        <f t="shared" si="33"/>
        <v>-99.212644364034759</v>
      </c>
      <c r="AC73" s="40">
        <f t="shared" si="34"/>
        <v>-80.787355635965241</v>
      </c>
      <c r="AD73" s="40">
        <f t="shared" si="35"/>
        <v>260.78735563596524</v>
      </c>
      <c r="AE73" s="40">
        <f t="shared" si="102"/>
        <v>-99.212644364034759</v>
      </c>
      <c r="AF73" s="40">
        <f t="shared" si="37"/>
        <v>1.9211538095764051</v>
      </c>
      <c r="AG73" s="40">
        <f t="shared" si="38"/>
        <v>0</v>
      </c>
      <c r="AH73" s="41">
        <f>COS(RADIANS(Z73))*COS(RADIANS(AB73-Insolation!$L$6))*SIN(RADIANS(0))+(SIN(RADIANS(Z73))*COS(RADIANS(0)))</f>
        <v>-0.52052053043087154</v>
      </c>
      <c r="AI73" s="41">
        <f>COS(RADIANS(Z73))*COS(RADIANS(AB73-Insolation!$L$6))*SIN(RADIANS(Insolation!$L$7))+SIN(RADIANS(Z73))*COS(RADIANS(Insolation!$L$7))</f>
        <v>-0.4530267870968695</v>
      </c>
      <c r="AJ73" s="40">
        <f t="shared" si="39"/>
        <v>0</v>
      </c>
      <c r="AK73" s="40">
        <f t="shared" si="40"/>
        <v>0</v>
      </c>
      <c r="AL73" s="40">
        <f t="shared" si="41"/>
        <v>0</v>
      </c>
      <c r="AM73" s="40">
        <f>$X$55*AG73*((1+COS(RADIANS(Insolation!$L$7)))/2)</f>
        <v>0</v>
      </c>
      <c r="AN73" s="40">
        <f t="shared" si="42"/>
        <v>0</v>
      </c>
      <c r="AO73" s="40">
        <f t="shared" si="43"/>
        <v>0</v>
      </c>
      <c r="AP73" s="40">
        <f t="shared" si="44"/>
        <v>0</v>
      </c>
      <c r="AQ73" s="40">
        <f t="shared" si="45"/>
        <v>0</v>
      </c>
      <c r="AT73" s="48">
        <v>20</v>
      </c>
      <c r="AU73" s="40">
        <f t="shared" si="46"/>
        <v>-24.467078892364359</v>
      </c>
      <c r="AV73" s="181">
        <f t="shared" si="15"/>
        <v>-120</v>
      </c>
      <c r="AW73" s="40">
        <f t="shared" si="47"/>
        <v>-108.13670726491893</v>
      </c>
      <c r="AX73" s="40">
        <f t="shared" si="48"/>
        <v>-71.863292735081075</v>
      </c>
      <c r="AY73" s="40">
        <f t="shared" si="49"/>
        <v>251.86329273508107</v>
      </c>
      <c r="AZ73" s="40">
        <f t="shared" si="103"/>
        <v>-108.13670726491893</v>
      </c>
      <c r="BA73" s="40">
        <f t="shared" si="107"/>
        <v>2.4144655822175896</v>
      </c>
      <c r="BB73" s="40">
        <f t="shared" si="52"/>
        <v>0</v>
      </c>
      <c r="BC73" s="41">
        <f>COS(RADIANS(AU73))*COS(RADIANS(AW73-Insolation!$L$6))*SIN(RADIANS(0))+(SIN(RADIANS(AU73))*COS(RADIANS(0)))</f>
        <v>-0.41417032711708412</v>
      </c>
      <c r="BD73" s="41">
        <f>COS(RADIANS(AU73))*COS(RADIANS(AW73-Insolation!$L$6))*SIN(RADIANS(Insolation!$L$7))+SIN(RADIANS(AU73))*COS(RADIANS(Insolation!$L$7))</f>
        <v>-0.44621617326302276</v>
      </c>
      <c r="BE73" s="40">
        <f t="shared" si="53"/>
        <v>0</v>
      </c>
      <c r="BF73" s="40">
        <f t="shared" si="54"/>
        <v>0</v>
      </c>
      <c r="BG73" s="40">
        <f t="shared" si="55"/>
        <v>0</v>
      </c>
      <c r="BH73" s="40">
        <f>$AS$55*BB73*((1+COS(RADIANS(Insolation!$L$7)))/2)</f>
        <v>0</v>
      </c>
      <c r="BI73" s="40">
        <f t="shared" si="56"/>
        <v>0</v>
      </c>
      <c r="BJ73" s="40">
        <f t="shared" si="57"/>
        <v>0</v>
      </c>
      <c r="BK73" s="40">
        <f t="shared" si="58"/>
        <v>0</v>
      </c>
      <c r="BL73" s="40">
        <f t="shared" si="59"/>
        <v>0</v>
      </c>
      <c r="BO73" s="48">
        <v>20</v>
      </c>
      <c r="BP73" s="40">
        <f t="shared" si="60"/>
        <v>-15.825832355243422</v>
      </c>
      <c r="BQ73" s="181">
        <f t="shared" si="16"/>
        <v>-120</v>
      </c>
      <c r="BR73" s="40">
        <f t="shared" si="61"/>
        <v>-117.37450935717121</v>
      </c>
      <c r="BS73" s="40">
        <f t="shared" si="62"/>
        <v>-62.625490642828794</v>
      </c>
      <c r="BT73" s="40">
        <f t="shared" si="63"/>
        <v>242.62549064282879</v>
      </c>
      <c r="BU73" s="40">
        <f t="shared" si="104"/>
        <v>-117.37450935717121</v>
      </c>
      <c r="BV73" s="40">
        <f t="shared" si="108"/>
        <v>3.666844519815438</v>
      </c>
      <c r="BW73" s="40">
        <f t="shared" si="66"/>
        <v>0</v>
      </c>
      <c r="BX73" s="41">
        <f>COS(RADIANS(BP73))*COS(RADIANS(BR73-Insolation!$L$6))*SIN(RADIANS(0))+(SIN(RADIANS(BP73))*COS(RADIANS(0)))</f>
        <v>-0.27271404462230447</v>
      </c>
      <c r="BY73" s="41">
        <f>COS(RADIANS(BP73))*COS(RADIANS(BR73-Insolation!$L$6))*SIN(RADIANS(Insolation!$L$7))+SIN(RADIANS(BP73))*COS(RADIANS(Insolation!$L$7))</f>
        <v>-0.4194780850604517</v>
      </c>
      <c r="BZ73" s="40">
        <f t="shared" si="67"/>
        <v>0</v>
      </c>
      <c r="CA73" s="40">
        <f t="shared" si="68"/>
        <v>0</v>
      </c>
      <c r="CB73" s="40">
        <f t="shared" si="69"/>
        <v>0</v>
      </c>
      <c r="CC73" s="40">
        <f>$BN$55*BW73*((1+COS(RADIANS(Insolation!$L$7)))/2)</f>
        <v>0</v>
      </c>
      <c r="CD73" s="40">
        <f t="shared" si="70"/>
        <v>0</v>
      </c>
      <c r="CE73" s="40">
        <f t="shared" si="71"/>
        <v>0</v>
      </c>
      <c r="CF73" s="40">
        <f t="shared" si="72"/>
        <v>0</v>
      </c>
      <c r="CG73" s="40">
        <f t="shared" si="73"/>
        <v>0</v>
      </c>
      <c r="CJ73" s="48">
        <v>20</v>
      </c>
      <c r="CK73" s="40">
        <f t="shared" si="74"/>
        <v>-8.9482640374065738</v>
      </c>
      <c r="CL73" s="181">
        <f t="shared" si="17"/>
        <v>-120</v>
      </c>
      <c r="CM73" s="40">
        <f t="shared" si="75"/>
        <v>-123.90506367857066</v>
      </c>
      <c r="CN73" s="40">
        <f t="shared" si="76"/>
        <v>-56.094936321429344</v>
      </c>
      <c r="CO73" s="40">
        <f t="shared" si="77"/>
        <v>236.09493632142934</v>
      </c>
      <c r="CP73" s="40">
        <f t="shared" si="105"/>
        <v>-123.90506367857066</v>
      </c>
      <c r="CQ73" s="40">
        <f t="shared" si="109"/>
        <v>6.4291087218980438</v>
      </c>
      <c r="CR73" s="40">
        <f t="shared" si="80"/>
        <v>0</v>
      </c>
      <c r="CS73" s="41">
        <f>COS(RADIANS(CK73))*COS(RADIANS(CM73-Insolation!$L$6))*SIN(RADIANS(0))+(SIN(RADIANS(CK73))*COS(RADIANS(0)))</f>
        <v>-0.15554255547023529</v>
      </c>
      <c r="CT73" s="41">
        <f>COS(RADIANS(CK73))*COS(RADIANS(CM73-Insolation!$L$6))*SIN(RADIANS(Insolation!$L$7))+SIN(RADIANS(CK73))*COS(RADIANS(Insolation!$L$7))</f>
        <v>-0.38598953587013907</v>
      </c>
      <c r="CU73" s="40">
        <f t="shared" si="81"/>
        <v>0</v>
      </c>
      <c r="CV73" s="40">
        <f t="shared" si="82"/>
        <v>0</v>
      </c>
      <c r="CW73" s="40">
        <f t="shared" si="83"/>
        <v>0</v>
      </c>
      <c r="CX73" s="40">
        <f>$CI$55*CR73*((1+COS(RADIANS(Insolation!$L$7)))/2)</f>
        <v>0</v>
      </c>
      <c r="CY73" s="40">
        <f t="shared" si="84"/>
        <v>0</v>
      </c>
      <c r="CZ73" s="40">
        <f t="shared" si="101"/>
        <v>0</v>
      </c>
      <c r="DA73" s="40">
        <f t="shared" si="85"/>
        <v>0</v>
      </c>
      <c r="DB73" s="40">
        <f t="shared" si="86"/>
        <v>0</v>
      </c>
      <c r="DE73" s="48">
        <v>20</v>
      </c>
      <c r="DF73" s="40">
        <f t="shared" si="87"/>
        <v>-5.5864216893041831</v>
      </c>
      <c r="DG73" s="181">
        <f t="shared" si="18"/>
        <v>-120</v>
      </c>
      <c r="DH73" s="40">
        <f t="shared" si="88"/>
        <v>-126.95508065484921</v>
      </c>
      <c r="DI73" s="40">
        <f t="shared" si="89"/>
        <v>-53.044919345150774</v>
      </c>
      <c r="DJ73" s="40">
        <f t="shared" si="90"/>
        <v>233.04491934515079</v>
      </c>
      <c r="DK73" s="40">
        <f t="shared" si="106"/>
        <v>-126.95508065484921</v>
      </c>
      <c r="DL73" s="40">
        <f t="shared" si="110"/>
        <v>10.272525812490782</v>
      </c>
      <c r="DM73" s="40">
        <f t="shared" si="93"/>
        <v>0</v>
      </c>
      <c r="DN73" s="41">
        <f>COS(RADIANS(DF73))*COS(RADIANS(DH73-Insolation!$L$6))*SIN(RADIANS(0))+(SIN(RADIANS(DF73))*COS(RADIANS(0)))</f>
        <v>-9.7347041833086401E-2</v>
      </c>
      <c r="DO73" s="41">
        <f>COS(RADIANS(DF73))*COS(RADIANS(DH73-Insolation!$L$6))*SIN(RADIANS(Insolation!$L$7))+SIN(RADIANS(DF73))*COS(RADIANS(Insolation!$L$7))</f>
        <v>-0.36608478726767391</v>
      </c>
      <c r="DP73" s="40">
        <f t="shared" si="94"/>
        <v>0</v>
      </c>
      <c r="DQ73" s="40">
        <f t="shared" si="95"/>
        <v>0</v>
      </c>
      <c r="DR73" s="40">
        <f t="shared" si="96"/>
        <v>0</v>
      </c>
      <c r="DS73" s="40">
        <f>$DD$55*DM73*((1+COS(RADIANS(Insolation!$L$7)))/2)</f>
        <v>0</v>
      </c>
      <c r="DT73" s="40">
        <f t="shared" si="97"/>
        <v>0</v>
      </c>
      <c r="DU73" s="40">
        <f t="shared" si="98"/>
        <v>0</v>
      </c>
      <c r="DV73" s="40">
        <f t="shared" si="99"/>
        <v>0</v>
      </c>
      <c r="DW73" s="40">
        <f t="shared" si="100"/>
        <v>0</v>
      </c>
    </row>
    <row r="74" spans="3:127" x14ac:dyDescent="0.15">
      <c r="D74" s="48">
        <v>20.5</v>
      </c>
      <c r="E74" s="40">
        <f t="shared" si="12"/>
        <v>-41.893475100421249</v>
      </c>
      <c r="F74" s="181">
        <f t="shared" si="13"/>
        <v>-127.5</v>
      </c>
      <c r="G74" s="40">
        <f t="shared" si="19"/>
        <v>-96.693484186018281</v>
      </c>
      <c r="H74" s="40">
        <f t="shared" si="20"/>
        <v>-83.306515813981733</v>
      </c>
      <c r="I74" s="40">
        <f t="shared" si="21"/>
        <v>263.30651581398172</v>
      </c>
      <c r="J74" s="40">
        <f t="shared" si="22"/>
        <v>-96.693484186018281</v>
      </c>
      <c r="K74" s="40">
        <f t="shared" si="23"/>
        <v>1.4975714149172779</v>
      </c>
      <c r="L74" s="40">
        <f t="shared" si="24"/>
        <v>0</v>
      </c>
      <c r="M74" s="41">
        <f>COS(RADIANS(E74))*COS(RADIANS(G74-Insolation!$L$6))*SIN(RADIANS(0))+(SIN(RADIANS(E74))*COS(RADIANS(0)))</f>
        <v>-0.66774778821164771</v>
      </c>
      <c r="N74" s="41">
        <f>COS(RADIANS(E74))*COS(RADIANS(G74-Insolation!$L$6))*SIN(RADIANS(Insolation!$L$7))+SIN(RADIANS(E74))*COS(RADIANS(Insolation!$L$7))</f>
        <v>-0.55299395779375626</v>
      </c>
      <c r="O74" s="40">
        <f t="shared" si="25"/>
        <v>0</v>
      </c>
      <c r="P74" s="40">
        <f t="shared" si="26"/>
        <v>0</v>
      </c>
      <c r="Q74" s="40">
        <f t="shared" si="27"/>
        <v>0</v>
      </c>
      <c r="R74" s="40">
        <f>$C$55*L74*((1+COS(RADIANS(Insolation!$L$7)))/2)</f>
        <v>0</v>
      </c>
      <c r="S74" s="40">
        <f t="shared" si="28"/>
        <v>0</v>
      </c>
      <c r="T74" s="40">
        <f t="shared" si="29"/>
        <v>0</v>
      </c>
      <c r="U74" s="40">
        <f t="shared" si="30"/>
        <v>0</v>
      </c>
      <c r="V74" s="40">
        <f t="shared" si="31"/>
        <v>0</v>
      </c>
      <c r="Y74" s="48">
        <v>20.5</v>
      </c>
      <c r="Z74" s="40">
        <f>DEGREES(ASIN(COS(RADIANS($A$43))*COS(RADIANS($X$47))*COS(RADIANS(AA74))+SIN(RADIANS($A$43))*SIN(RADIANS($X$47))))</f>
        <v>-36.984977991810517</v>
      </c>
      <c r="AA74" s="181">
        <f t="shared" si="14"/>
        <v>-127.5</v>
      </c>
      <c r="AB74" s="40">
        <f t="shared" si="33"/>
        <v>-104.85123621374115</v>
      </c>
      <c r="AC74" s="40">
        <f t="shared" si="34"/>
        <v>-75.148763786258854</v>
      </c>
      <c r="AD74" s="40">
        <f t="shared" si="35"/>
        <v>255.14876378625885</v>
      </c>
      <c r="AE74" s="40">
        <f t="shared" si="102"/>
        <v>-104.85123621374115</v>
      </c>
      <c r="AF74" s="40">
        <f t="shared" si="37"/>
        <v>1.6622185327108314</v>
      </c>
      <c r="AG74" s="40">
        <f>IF(Z74&gt;0,$X$51*EXP(-$X$53*AF74),0)</f>
        <v>0</v>
      </c>
      <c r="AH74" s="41">
        <f>COS(RADIANS(Z74))*COS(RADIANS(AB74-Insolation!$L$6))*SIN(RADIANS(0))+(SIN(RADIANS(Z74))*COS(RADIANS(0)))</f>
        <v>-0.60160561341422936</v>
      </c>
      <c r="AI74" s="41">
        <f>COS(RADIANS(Z74))*COS(RADIANS(AB74-Insolation!$L$6))*SIN(RADIANS(Insolation!$L$7))+SIN(RADIANS(Z74))*COS(RADIANS(Insolation!$L$7))</f>
        <v>-0.56259474722940783</v>
      </c>
      <c r="AJ74" s="40">
        <f t="shared" si="39"/>
        <v>0</v>
      </c>
      <c r="AK74" s="40">
        <f t="shared" si="40"/>
        <v>0</v>
      </c>
      <c r="AL74" s="40">
        <f t="shared" si="41"/>
        <v>0</v>
      </c>
      <c r="AM74" s="40">
        <f>$X$55*AG74*((1+COS(RADIANS(Insolation!$L$7)))/2)</f>
        <v>0</v>
      </c>
      <c r="AN74" s="40">
        <f t="shared" si="42"/>
        <v>0</v>
      </c>
      <c r="AO74" s="40">
        <f t="shared" si="43"/>
        <v>0</v>
      </c>
      <c r="AP74" s="40">
        <f t="shared" si="44"/>
        <v>0</v>
      </c>
      <c r="AQ74" s="40">
        <f t="shared" si="45"/>
        <v>0</v>
      </c>
      <c r="AT74" s="48">
        <v>20.5</v>
      </c>
      <c r="AU74" s="40">
        <f t="shared" si="46"/>
        <v>-29.827183026306624</v>
      </c>
      <c r="AV74" s="181">
        <f t="shared" si="15"/>
        <v>-127.5</v>
      </c>
      <c r="AW74" s="40">
        <f>IF(COS(RADIANS(AV74))&gt;=((TAN(RADIANS($AS$47)))/(TAN(RADIANS($A$43)))),AX74,IF(AT74&lt;12,AY74,AZ74))</f>
        <v>-114.02180274902781</v>
      </c>
      <c r="AX74" s="40">
        <f t="shared" si="48"/>
        <v>-65.978197250972173</v>
      </c>
      <c r="AY74" s="40">
        <f t="shared" si="49"/>
        <v>245.97819725097219</v>
      </c>
      <c r="AZ74" s="40">
        <f t="shared" si="103"/>
        <v>-114.02180274902781</v>
      </c>
      <c r="BA74" s="40">
        <f t="shared" si="107"/>
        <v>2.0105125603672529</v>
      </c>
      <c r="BB74" s="40">
        <f t="shared" si="52"/>
        <v>0</v>
      </c>
      <c r="BC74" s="41">
        <f>COS(RADIANS(AU74))*COS(RADIANS(AW74-Insolation!$L$6))*SIN(RADIANS(0))+(SIN(RADIANS(AU74))*COS(RADIANS(0)))</f>
        <v>-0.49738560191702247</v>
      </c>
      <c r="BD74" s="41">
        <f>COS(RADIANS(AU74))*COS(RADIANS(AW74-Insolation!$L$6))*SIN(RADIANS(Insolation!$L$7))+SIN(RADIANS(AU74))*COS(RADIANS(Insolation!$L$7))</f>
        <v>-0.55866260084538322</v>
      </c>
      <c r="BE74" s="40">
        <f t="shared" si="53"/>
        <v>0</v>
      </c>
      <c r="BF74" s="40">
        <f t="shared" si="54"/>
        <v>0</v>
      </c>
      <c r="BG74" s="40">
        <f t="shared" si="55"/>
        <v>0</v>
      </c>
      <c r="BH74" s="40">
        <f>$AS$55*BB74*((1+COS(RADIANS(Insolation!$L$7)))/2)</f>
        <v>0</v>
      </c>
      <c r="BI74" s="40">
        <f t="shared" si="56"/>
        <v>0</v>
      </c>
      <c r="BJ74" s="40">
        <f t="shared" si="57"/>
        <v>0</v>
      </c>
      <c r="BK74" s="40">
        <f t="shared" si="58"/>
        <v>0</v>
      </c>
      <c r="BL74" s="40">
        <f t="shared" si="59"/>
        <v>0</v>
      </c>
      <c r="BO74" s="48">
        <v>20.5</v>
      </c>
      <c r="BP74" s="40">
        <f t="shared" si="60"/>
        <v>-20.787796094336823</v>
      </c>
      <c r="BQ74" s="181">
        <f t="shared" si="16"/>
        <v>-127.5</v>
      </c>
      <c r="BR74" s="40">
        <f t="shared" si="61"/>
        <v>-123.15805279036292</v>
      </c>
      <c r="BS74" s="40">
        <f t="shared" si="62"/>
        <v>-56.841947209637077</v>
      </c>
      <c r="BT74" s="40">
        <f t="shared" si="63"/>
        <v>236.84194720963708</v>
      </c>
      <c r="BU74" s="40">
        <f t="shared" si="104"/>
        <v>-123.15805279036292</v>
      </c>
      <c r="BV74" s="40">
        <f t="shared" si="108"/>
        <v>2.8176328973705669</v>
      </c>
      <c r="BW74" s="40">
        <f t="shared" si="66"/>
        <v>0</v>
      </c>
      <c r="BX74" s="41">
        <f>COS(RADIANS(BP74))*COS(RADIANS(BR74-Insolation!$L$6))*SIN(RADIANS(0))+(SIN(RADIANS(BP74))*COS(RADIANS(0)))</f>
        <v>-0.35490783804135961</v>
      </c>
      <c r="BY74" s="41">
        <f>COS(RADIANS(BP74))*COS(RADIANS(BR74-Insolation!$L$6))*SIN(RADIANS(Insolation!$L$7))+SIN(RADIANS(BP74))*COS(RADIANS(Insolation!$L$7))</f>
        <v>-0.53054421398492324</v>
      </c>
      <c r="BZ74" s="40">
        <f t="shared" si="67"/>
        <v>0</v>
      </c>
      <c r="CA74" s="40">
        <f t="shared" si="68"/>
        <v>0</v>
      </c>
      <c r="CB74" s="40">
        <f t="shared" si="69"/>
        <v>0</v>
      </c>
      <c r="CC74" s="40">
        <f>$BN$55*BW74*((1+COS(RADIANS(Insolation!$L$7)))/2)</f>
        <v>0</v>
      </c>
      <c r="CD74" s="40">
        <f t="shared" si="70"/>
        <v>0</v>
      </c>
      <c r="CE74" s="40">
        <f t="shared" si="71"/>
        <v>0</v>
      </c>
      <c r="CF74" s="40">
        <f t="shared" si="72"/>
        <v>0</v>
      </c>
      <c r="CG74" s="40">
        <f t="shared" si="73"/>
        <v>0</v>
      </c>
      <c r="CJ74" s="48">
        <v>20.5</v>
      </c>
      <c r="CK74" s="40">
        <f t="shared" si="74"/>
        <v>-13.557286276590878</v>
      </c>
      <c r="CL74" s="181">
        <f t="shared" si="17"/>
        <v>-127.5</v>
      </c>
      <c r="CM74" s="40">
        <f>IF(COS(RADIANS(CL74))&gt;=((TAN(RADIANS($CI$47)))/(TAN(RADIANS($A$43)))),CN74,IF(CJ74&lt;12,CO74,CP74))</f>
        <v>-129.4128805156127</v>
      </c>
      <c r="CN74" s="40">
        <f t="shared" si="76"/>
        <v>-50.587119484387316</v>
      </c>
      <c r="CO74" s="40">
        <f t="shared" si="77"/>
        <v>230.5871194843873</v>
      </c>
      <c r="CP74" s="40">
        <f t="shared" si="105"/>
        <v>-129.4128805156127</v>
      </c>
      <c r="CQ74" s="40">
        <f t="shared" si="109"/>
        <v>4.2658939250181174</v>
      </c>
      <c r="CR74" s="40">
        <f t="shared" si="80"/>
        <v>0</v>
      </c>
      <c r="CS74" s="41">
        <f>COS(RADIANS(CK74))*COS(RADIANS(CM74-Insolation!$L$6))*SIN(RADIANS(0))+(SIN(RADIANS(CK74))*COS(RADIANS(0)))</f>
        <v>-0.2344174556557341</v>
      </c>
      <c r="CT74" s="41">
        <f>COS(RADIANS(CK74))*COS(RADIANS(CM74-Insolation!$L$6))*SIN(RADIANS(Insolation!$L$7))+SIN(RADIANS(CK74))*COS(RADIANS(Insolation!$L$7))</f>
        <v>-0.49257093902115301</v>
      </c>
      <c r="CU74" s="40">
        <f t="shared" si="81"/>
        <v>0</v>
      </c>
      <c r="CV74" s="40">
        <f t="shared" si="82"/>
        <v>0</v>
      </c>
      <c r="CW74" s="40">
        <f t="shared" si="83"/>
        <v>0</v>
      </c>
      <c r="CX74" s="40">
        <f>$CI$55*CR74*((1+COS(RADIANS(Insolation!$L$7)))/2)</f>
        <v>0</v>
      </c>
      <c r="CY74" s="40">
        <f t="shared" si="84"/>
        <v>0</v>
      </c>
      <c r="CZ74" s="40">
        <f t="shared" si="101"/>
        <v>0</v>
      </c>
      <c r="DA74" s="40">
        <f t="shared" si="85"/>
        <v>0</v>
      </c>
      <c r="DB74" s="40">
        <f t="shared" si="86"/>
        <v>0</v>
      </c>
      <c r="DE74" s="48">
        <v>20.5</v>
      </c>
      <c r="DF74" s="40">
        <f t="shared" si="87"/>
        <v>-10.012330440887897</v>
      </c>
      <c r="DG74" s="181">
        <f t="shared" si="18"/>
        <v>-127.5</v>
      </c>
      <c r="DH74" s="40">
        <f t="shared" si="88"/>
        <v>-132.28212089622883</v>
      </c>
      <c r="DI74" s="40">
        <f t="shared" si="89"/>
        <v>-47.717879103771153</v>
      </c>
      <c r="DJ74" s="40">
        <f t="shared" si="90"/>
        <v>227.71787910377117</v>
      </c>
      <c r="DK74" s="40">
        <f t="shared" si="106"/>
        <v>-132.28212089622883</v>
      </c>
      <c r="DL74" s="40">
        <f t="shared" si="110"/>
        <v>5.7517506141686878</v>
      </c>
      <c r="DM74" s="40">
        <f t="shared" si="93"/>
        <v>0</v>
      </c>
      <c r="DN74" s="41">
        <f>COS(RADIANS(DF74))*COS(RADIANS(DH74-Insolation!$L$6))*SIN(RADIANS(0))+(SIN(RADIANS(DF74))*COS(RADIANS(0)))</f>
        <v>-0.1738601109611099</v>
      </c>
      <c r="DO74" s="41">
        <f>COS(RADIANS(DF74))*COS(RADIANS(DH74-Insolation!$L$6))*SIN(RADIANS(Insolation!$L$7))+SIN(RADIANS(DF74))*COS(RADIANS(Insolation!$L$7))</f>
        <v>-0.46947471546887043</v>
      </c>
      <c r="DP74" s="40">
        <f t="shared" si="94"/>
        <v>0</v>
      </c>
      <c r="DQ74" s="40">
        <f t="shared" si="95"/>
        <v>0</v>
      </c>
      <c r="DR74" s="40">
        <f t="shared" si="96"/>
        <v>0</v>
      </c>
      <c r="DS74" s="40">
        <f>$DD$55*DM74*((1+COS(RADIANS(Insolation!$L$7)))/2)</f>
        <v>0</v>
      </c>
      <c r="DT74" s="40">
        <f t="shared" si="97"/>
        <v>0</v>
      </c>
      <c r="DU74" s="40">
        <f t="shared" si="98"/>
        <v>0</v>
      </c>
      <c r="DV74" s="40">
        <f t="shared" si="99"/>
        <v>0</v>
      </c>
      <c r="DW74" s="40">
        <f t="shared" si="100"/>
        <v>0</v>
      </c>
    </row>
    <row r="75" spans="3:127" x14ac:dyDescent="0.15">
      <c r="O75" s="209">
        <f>SUM(O45,O47,O49,O51,O53,O55,O57,O59,O61,O63,O65,O67,O69,O71,O73)/1000</f>
        <v>2.4347826203051697</v>
      </c>
      <c r="P75" s="209">
        <f t="shared" ref="P75:V75" si="111">SUM(P45,P47,P49,P51,P53,P55,P57,P59,P61,P63,P65,P67,P69,P71,P73)/1000</f>
        <v>0.37203314144839889</v>
      </c>
      <c r="Q75" s="209">
        <f t="shared" si="111"/>
        <v>4.9470459815351022</v>
      </c>
      <c r="R75" s="209">
        <f t="shared" si="111"/>
        <v>0.33949293020704213</v>
      </c>
      <c r="S75" s="209">
        <f t="shared" si="111"/>
        <v>6.2770941117765071</v>
      </c>
      <c r="T75" s="209">
        <f t="shared" si="111"/>
        <v>0.31106357650766303</v>
      </c>
      <c r="U75" s="209">
        <f t="shared" si="111"/>
        <v>6.7359133513151948</v>
      </c>
      <c r="V75" s="209">
        <f t="shared" si="111"/>
        <v>0.25325465557866345</v>
      </c>
      <c r="AJ75" s="209">
        <f>SUM(AJ45,AJ47,AJ49,AJ51,AJ53,AJ55,AJ57,AJ59,AJ61,AJ63,AJ65,AJ67,AJ69,AJ71,AJ73)/1000</f>
        <v>3.4636363805573347</v>
      </c>
      <c r="AK75" s="209">
        <f t="shared" ref="AK75:AQ75" si="112">SUM(AK45,AK47,AK49,AK51,AK53,AK55,AK57,AK59,AK61,AK63,AK65,AK67,AK69,AK71,AK73)/1000</f>
        <v>0.48219906113413041</v>
      </c>
      <c r="AL75" s="209">
        <f t="shared" si="112"/>
        <v>5.7803457623396035</v>
      </c>
      <c r="AM75" s="209">
        <f t="shared" si="112"/>
        <v>0.44002308926076206</v>
      </c>
      <c r="AN75" s="209">
        <f t="shared" si="112"/>
        <v>7.455441674641003</v>
      </c>
      <c r="AO75" s="209">
        <f t="shared" si="112"/>
        <v>0.395927714556155</v>
      </c>
      <c r="AP75" s="209">
        <f t="shared" si="112"/>
        <v>7.6605734884696224</v>
      </c>
      <c r="AQ75" s="209">
        <f t="shared" si="112"/>
        <v>0.3501097902642421</v>
      </c>
      <c r="BE75" s="209">
        <f>SUM(BE45,BE47,BE49,BE51,BE53,BE55,BE57,BE59,BE61,BE63,BE65,BE67,BE69,BE71,BE73)/1000</f>
        <v>4.760551077349267</v>
      </c>
      <c r="BF75" s="209">
        <f t="shared" ref="BF75:BL75" si="113">SUM(BF45,BF47,BF49,BF51,BF53,BF55,BF57,BF59,BF61,BF63,BF65,BF67,BF69,BF71,BF73)/1000</f>
        <v>0.68626464598937031</v>
      </c>
      <c r="BG75" s="209">
        <f t="shared" si="113"/>
        <v>6.4891455812696988</v>
      </c>
      <c r="BH75" s="209">
        <f t="shared" si="113"/>
        <v>0.6262398953420778</v>
      </c>
      <c r="BI75" s="209">
        <f t="shared" si="113"/>
        <v>8.8227994468824367</v>
      </c>
      <c r="BJ75" s="209">
        <f t="shared" si="113"/>
        <v>0.54160514950304262</v>
      </c>
      <c r="BK75" s="209">
        <f t="shared" si="113"/>
        <v>8.8334880788896371</v>
      </c>
      <c r="BL75" s="209">
        <f t="shared" si="113"/>
        <v>0.52805349290144676</v>
      </c>
      <c r="BZ75" s="209">
        <f>SUM(BZ45,BZ47,BZ49,BZ51,BZ53,BZ55,BZ57,BZ59,BZ61,BZ63,BZ65,BZ67,BZ69,BZ71,BZ73)/1000</f>
        <v>6.0264694580488269</v>
      </c>
      <c r="CA75" s="209">
        <f t="shared" ref="CA75:CG75" si="114">SUM(CA45,CA47,CA49,CA51,CA53,CA55,CA57,CA59,CA61,CA63,CA65,CA67,CA69,CA71,CA73)/1000</f>
        <v>0.94604979965732006</v>
      </c>
      <c r="CB75" s="209">
        <f t="shared" si="114"/>
        <v>6.6690435343835643</v>
      </c>
      <c r="CC75" s="209">
        <f t="shared" si="114"/>
        <v>0.86330270834754663</v>
      </c>
      <c r="CD75" s="209">
        <f t="shared" si="114"/>
        <v>9.4811006703935181</v>
      </c>
      <c r="CE75" s="209">
        <f t="shared" si="114"/>
        <v>0.70907056554339298</v>
      </c>
      <c r="CF75" s="209">
        <f t="shared" si="114"/>
        <v>9.6105580232463446</v>
      </c>
      <c r="CG75" s="209">
        <f t="shared" si="114"/>
        <v>0.76964348376715008</v>
      </c>
      <c r="CU75" s="209">
        <f>SUM(CU45,CU47,CU49,CU51,CU53,CU55,CU57,CU59,CU61,CU63,CU65,CU67,CU69,CU71,CU73)/1000</f>
        <v>6.7745424361789954</v>
      </c>
      <c r="CV75" s="209">
        <f t="shared" ref="CV75:DB75" si="115">SUM(CV45,CV47,CV49,CV51,CV53,CV55,CV57,CV59,CV61,CV63,CV65,CV67,CV69,CV71,CV73)/1000</f>
        <v>1.1718380100066896</v>
      </c>
      <c r="CW75" s="209">
        <f t="shared" si="115"/>
        <v>6.4418105108674739</v>
      </c>
      <c r="CX75" s="209">
        <f t="shared" si="115"/>
        <v>1.0693421510683867</v>
      </c>
      <c r="CY75" s="209">
        <f t="shared" si="115"/>
        <v>9.4279853857147806</v>
      </c>
      <c r="CZ75" s="209">
        <f t="shared" si="115"/>
        <v>0.83773890773055804</v>
      </c>
      <c r="DA75" s="209">
        <f t="shared" si="115"/>
        <v>9.9588444639280596</v>
      </c>
      <c r="DB75" s="209">
        <f t="shared" si="115"/>
        <v>0.98449267265487417</v>
      </c>
      <c r="DP75" s="209">
        <f>SUM(DP45,DP47,DP49,DP51,DP53,DP55,DP57,DP59,DP61,DP63,DP65,DP67,DP69,DP71,DP73)/1000</f>
        <v>6.9827397237696713</v>
      </c>
      <c r="DQ75" s="209">
        <f t="shared" ref="DQ75:DW75" si="116">SUM(DQ45,DQ47,DQ49,DQ51,DQ53,DQ55,DQ57,DQ59,DQ61,DQ63,DQ65,DQ67,DQ69,DQ71,DQ73)/1000</f>
        <v>1.3046511227740132</v>
      </c>
      <c r="DR75" s="209">
        <f t="shared" si="116"/>
        <v>6.1895143426426911</v>
      </c>
      <c r="DS75" s="209">
        <f t="shared" si="116"/>
        <v>1.1905386462186733</v>
      </c>
      <c r="DT75" s="209">
        <f t="shared" si="116"/>
        <v>9.126426231898245</v>
      </c>
      <c r="DU75" s="209">
        <f t="shared" si="116"/>
        <v>0.9098583326544204</v>
      </c>
      <c r="DV75" s="209">
        <f t="shared" si="116"/>
        <v>9.9378856792494865</v>
      </c>
      <c r="DW75" s="209">
        <f t="shared" si="116"/>
        <v>1.1106745258793604</v>
      </c>
    </row>
    <row r="76" spans="3:127" x14ac:dyDescent="0.15">
      <c r="P76" s="210">
        <f>O75+P75</f>
        <v>2.8068157617535685</v>
      </c>
      <c r="Q76" s="210"/>
      <c r="R76" s="210">
        <f t="shared" ref="R76:V76" si="117">Q75+R75</f>
        <v>5.2865389117421442</v>
      </c>
      <c r="S76" s="210"/>
      <c r="T76" s="210">
        <f t="shared" si="117"/>
        <v>6.5881576882841699</v>
      </c>
      <c r="U76" s="210"/>
      <c r="V76" s="210">
        <f t="shared" si="117"/>
        <v>6.9891680068938582</v>
      </c>
      <c r="AK76" s="210">
        <f>AJ75+AK75</f>
        <v>3.9458354416914649</v>
      </c>
      <c r="AL76" s="210"/>
      <c r="AM76" s="210">
        <f t="shared" ref="AM76" si="118">AL75+AM75</f>
        <v>6.2203688516003659</v>
      </c>
      <c r="AN76" s="210"/>
      <c r="AO76" s="210">
        <f t="shared" ref="AO76" si="119">AN75+AO75</f>
        <v>7.8513693891971581</v>
      </c>
      <c r="AP76" s="210"/>
      <c r="AQ76" s="210">
        <f t="shared" ref="AQ76" si="120">AP75+AQ75</f>
        <v>8.0106832787338647</v>
      </c>
      <c r="BF76" s="210">
        <f>BE75+BF75</f>
        <v>5.4468157233386369</v>
      </c>
      <c r="BG76" s="210"/>
      <c r="BH76" s="210">
        <f t="shared" ref="BH76" si="121">BG75+BH75</f>
        <v>7.1153854766117766</v>
      </c>
      <c r="BI76" s="210"/>
      <c r="BJ76" s="210">
        <f t="shared" ref="BJ76" si="122">BI75+BJ75</f>
        <v>9.3644045963854801</v>
      </c>
      <c r="BK76" s="210"/>
      <c r="BL76" s="210">
        <f t="shared" ref="BL76" si="123">BK75+BL75</f>
        <v>9.3615415717910846</v>
      </c>
      <c r="CA76" s="210">
        <f>BZ75+CA75</f>
        <v>6.9725192577061472</v>
      </c>
      <c r="CB76" s="210"/>
      <c r="CC76" s="210">
        <f t="shared" ref="CC76" si="124">CB75+CC75</f>
        <v>7.5323462427311112</v>
      </c>
      <c r="CD76" s="210"/>
      <c r="CE76" s="210">
        <f t="shared" ref="CE76" si="125">CD75+CE75</f>
        <v>10.19017123593691</v>
      </c>
      <c r="CF76" s="210"/>
      <c r="CG76" s="210">
        <f t="shared" ref="CG76" si="126">CF75+CG75</f>
        <v>10.380201507013494</v>
      </c>
      <c r="CV76" s="210">
        <f>CU75+CV75</f>
        <v>7.9463804461856853</v>
      </c>
      <c r="CW76" s="210"/>
      <c r="CX76" s="210">
        <f t="shared" ref="CX76" si="127">CW75+CX75</f>
        <v>7.5111526619358608</v>
      </c>
      <c r="CY76" s="210"/>
      <c r="CZ76" s="210">
        <f t="shared" ref="CZ76" si="128">CY75+CZ75</f>
        <v>10.265724293445338</v>
      </c>
      <c r="DA76" s="210"/>
      <c r="DB76" s="210">
        <f t="shared" ref="DB76" si="129">DA75+DB75</f>
        <v>10.943337136582933</v>
      </c>
      <c r="DQ76" s="210">
        <f>DP75+DQ75</f>
        <v>8.2873908465436852</v>
      </c>
      <c r="DR76" s="210"/>
      <c r="DS76" s="210">
        <f t="shared" ref="DS76" si="130">DR75+DS75</f>
        <v>7.3800529888613644</v>
      </c>
      <c r="DT76" s="210"/>
      <c r="DU76" s="210">
        <f t="shared" ref="DU76" si="131">DT75+DU75</f>
        <v>10.036284564552666</v>
      </c>
      <c r="DV76" s="210"/>
      <c r="DW76" s="210">
        <f t="shared" ref="DW76" si="132">DV75+DW75</f>
        <v>11.048560205128847</v>
      </c>
    </row>
    <row r="78" spans="3:127" x14ac:dyDescent="0.15">
      <c r="O78" s="340" t="s">
        <v>152</v>
      </c>
      <c r="P78" s="341"/>
      <c r="Q78" s="340" t="s">
        <v>153</v>
      </c>
      <c r="R78" s="341"/>
      <c r="S78" s="340" t="s">
        <v>173</v>
      </c>
      <c r="T78" s="341"/>
      <c r="U78" s="340" t="s">
        <v>174</v>
      </c>
      <c r="V78" s="341"/>
      <c r="AJ78" s="340" t="s">
        <v>152</v>
      </c>
      <c r="AK78" s="341"/>
      <c r="AL78" s="340" t="s">
        <v>153</v>
      </c>
      <c r="AM78" s="341"/>
      <c r="AN78" s="340" t="s">
        <v>173</v>
      </c>
      <c r="AO78" s="341"/>
      <c r="AP78" s="340" t="s">
        <v>174</v>
      </c>
      <c r="AQ78" s="341"/>
      <c r="BE78" s="340" t="s">
        <v>152</v>
      </c>
      <c r="BF78" s="341"/>
      <c r="BG78" s="340" t="s">
        <v>153</v>
      </c>
      <c r="BH78" s="341"/>
      <c r="BI78" s="340" t="s">
        <v>173</v>
      </c>
      <c r="BJ78" s="341"/>
      <c r="BK78" s="340" t="s">
        <v>174</v>
      </c>
      <c r="BL78" s="341"/>
      <c r="BZ78" s="340" t="s">
        <v>152</v>
      </c>
      <c r="CA78" s="341"/>
      <c r="CB78" s="340" t="s">
        <v>153</v>
      </c>
      <c r="CC78" s="341"/>
      <c r="CD78" s="340" t="s">
        <v>173</v>
      </c>
      <c r="CE78" s="341"/>
      <c r="CF78" s="340" t="s">
        <v>174</v>
      </c>
      <c r="CG78" s="341"/>
      <c r="CU78" s="340" t="s">
        <v>152</v>
      </c>
      <c r="CV78" s="341"/>
      <c r="CW78" s="340" t="s">
        <v>153</v>
      </c>
      <c r="CX78" s="341"/>
      <c r="CY78" s="340" t="s">
        <v>173</v>
      </c>
      <c r="CZ78" s="341"/>
      <c r="DA78" s="340" t="s">
        <v>174</v>
      </c>
      <c r="DB78" s="341"/>
      <c r="DP78" s="340" t="s">
        <v>152</v>
      </c>
      <c r="DQ78" s="341"/>
      <c r="DR78" s="340" t="s">
        <v>153</v>
      </c>
      <c r="DS78" s="341"/>
      <c r="DT78" s="340" t="s">
        <v>173</v>
      </c>
      <c r="DU78" s="341"/>
      <c r="DV78" s="340" t="s">
        <v>174</v>
      </c>
      <c r="DW78" s="341"/>
    </row>
    <row r="79" spans="3:127" x14ac:dyDescent="0.15">
      <c r="C79" s="201" t="s">
        <v>195</v>
      </c>
      <c r="D79" s="39" t="s">
        <v>82</v>
      </c>
      <c r="E79" s="39" t="s">
        <v>83</v>
      </c>
      <c r="F79" s="39" t="s">
        <v>179</v>
      </c>
      <c r="G79" s="39" t="s">
        <v>60</v>
      </c>
      <c r="H79" s="206">
        <v>1</v>
      </c>
      <c r="I79" s="206">
        <v>2</v>
      </c>
      <c r="J79" s="206">
        <v>3</v>
      </c>
      <c r="K79" s="39" t="s">
        <v>185</v>
      </c>
      <c r="L79" s="39" t="s">
        <v>183</v>
      </c>
      <c r="M79" s="39" t="s">
        <v>186</v>
      </c>
      <c r="N79" s="39" t="s">
        <v>187</v>
      </c>
      <c r="O79" s="39" t="s">
        <v>150</v>
      </c>
      <c r="P79" s="39" t="s">
        <v>188</v>
      </c>
      <c r="Q79" s="39" t="s">
        <v>150</v>
      </c>
      <c r="R79" s="39" t="s">
        <v>188</v>
      </c>
      <c r="S79" s="39" t="s">
        <v>150</v>
      </c>
      <c r="T79" s="39" t="s">
        <v>188</v>
      </c>
      <c r="U79" s="39" t="s">
        <v>150</v>
      </c>
      <c r="V79" s="39" t="s">
        <v>188</v>
      </c>
      <c r="X79" s="201" t="s">
        <v>196</v>
      </c>
      <c r="Y79" s="39" t="s">
        <v>82</v>
      </c>
      <c r="Z79" s="39" t="s">
        <v>83</v>
      </c>
      <c r="AA79" s="39" t="s">
        <v>179</v>
      </c>
      <c r="AB79" s="39" t="s">
        <v>60</v>
      </c>
      <c r="AC79" s="206">
        <v>1</v>
      </c>
      <c r="AD79" s="206">
        <v>2</v>
      </c>
      <c r="AE79" s="206">
        <v>3</v>
      </c>
      <c r="AF79" s="39" t="s">
        <v>185</v>
      </c>
      <c r="AG79" s="39" t="s">
        <v>183</v>
      </c>
      <c r="AH79" s="39" t="s">
        <v>186</v>
      </c>
      <c r="AI79" s="39" t="s">
        <v>187</v>
      </c>
      <c r="AJ79" s="39" t="s">
        <v>150</v>
      </c>
      <c r="AK79" s="39" t="s">
        <v>188</v>
      </c>
      <c r="AL79" s="39" t="s">
        <v>150</v>
      </c>
      <c r="AM79" s="39" t="s">
        <v>188</v>
      </c>
      <c r="AN79" s="39" t="s">
        <v>150</v>
      </c>
      <c r="AO79" s="39" t="s">
        <v>188</v>
      </c>
      <c r="AP79" s="39" t="s">
        <v>150</v>
      </c>
      <c r="AQ79" s="39" t="s">
        <v>188</v>
      </c>
      <c r="AS79" s="201" t="s">
        <v>197</v>
      </c>
      <c r="AT79" s="39" t="s">
        <v>82</v>
      </c>
      <c r="AU79" s="39" t="s">
        <v>83</v>
      </c>
      <c r="AV79" s="39" t="s">
        <v>179</v>
      </c>
      <c r="AW79" s="39" t="s">
        <v>60</v>
      </c>
      <c r="AX79" s="206">
        <v>1</v>
      </c>
      <c r="AY79" s="206">
        <v>2</v>
      </c>
      <c r="AZ79" s="206">
        <v>3</v>
      </c>
      <c r="BA79" s="39" t="s">
        <v>185</v>
      </c>
      <c r="BB79" s="39" t="s">
        <v>183</v>
      </c>
      <c r="BC79" s="39" t="s">
        <v>186</v>
      </c>
      <c r="BD79" s="39" t="s">
        <v>187</v>
      </c>
      <c r="BE79" s="39" t="s">
        <v>150</v>
      </c>
      <c r="BF79" s="39" t="s">
        <v>188</v>
      </c>
      <c r="BG79" s="39" t="s">
        <v>150</v>
      </c>
      <c r="BH79" s="39" t="s">
        <v>188</v>
      </c>
      <c r="BI79" s="39" t="s">
        <v>150</v>
      </c>
      <c r="BJ79" s="39" t="s">
        <v>188</v>
      </c>
      <c r="BK79" s="39" t="s">
        <v>150</v>
      </c>
      <c r="BL79" s="39" t="s">
        <v>188</v>
      </c>
      <c r="BN79" s="201" t="s">
        <v>198</v>
      </c>
      <c r="BO79" s="39" t="s">
        <v>82</v>
      </c>
      <c r="BP79" s="39" t="s">
        <v>83</v>
      </c>
      <c r="BQ79" s="39" t="s">
        <v>179</v>
      </c>
      <c r="BR79" s="39" t="s">
        <v>60</v>
      </c>
      <c r="BS79" s="206">
        <v>1</v>
      </c>
      <c r="BT79" s="206">
        <v>2</v>
      </c>
      <c r="BU79" s="206">
        <v>3</v>
      </c>
      <c r="BV79" s="39" t="s">
        <v>185</v>
      </c>
      <c r="BW79" s="39" t="s">
        <v>183</v>
      </c>
      <c r="BX79" s="39" t="s">
        <v>186</v>
      </c>
      <c r="BY79" s="39" t="s">
        <v>187</v>
      </c>
      <c r="BZ79" s="39" t="s">
        <v>150</v>
      </c>
      <c r="CA79" s="39" t="s">
        <v>188</v>
      </c>
      <c r="CB79" s="39" t="s">
        <v>150</v>
      </c>
      <c r="CC79" s="39" t="s">
        <v>188</v>
      </c>
      <c r="CD79" s="39" t="s">
        <v>150</v>
      </c>
      <c r="CE79" s="39" t="s">
        <v>188</v>
      </c>
      <c r="CF79" s="39" t="s">
        <v>150</v>
      </c>
      <c r="CG79" s="39" t="s">
        <v>188</v>
      </c>
      <c r="CI79" s="201" t="s">
        <v>199</v>
      </c>
      <c r="CJ79" s="39" t="s">
        <v>82</v>
      </c>
      <c r="CK79" s="39" t="s">
        <v>83</v>
      </c>
      <c r="CL79" s="39" t="s">
        <v>179</v>
      </c>
      <c r="CM79" s="39" t="s">
        <v>60</v>
      </c>
      <c r="CN79" s="206">
        <v>1</v>
      </c>
      <c r="CO79" s="206">
        <v>2</v>
      </c>
      <c r="CP79" s="206">
        <v>3</v>
      </c>
      <c r="CQ79" s="39" t="s">
        <v>185</v>
      </c>
      <c r="CR79" s="39" t="s">
        <v>183</v>
      </c>
      <c r="CS79" s="39" t="s">
        <v>186</v>
      </c>
      <c r="CT79" s="39" t="s">
        <v>187</v>
      </c>
      <c r="CU79" s="39" t="s">
        <v>150</v>
      </c>
      <c r="CV79" s="39" t="s">
        <v>188</v>
      </c>
      <c r="CW79" s="39" t="s">
        <v>150</v>
      </c>
      <c r="CX79" s="39" t="s">
        <v>188</v>
      </c>
      <c r="CY79" s="39" t="s">
        <v>150</v>
      </c>
      <c r="CZ79" s="39" t="s">
        <v>188</v>
      </c>
      <c r="DA79" s="39" t="s">
        <v>150</v>
      </c>
      <c r="DB79" s="39" t="s">
        <v>188</v>
      </c>
      <c r="DD79" s="201" t="s">
        <v>200</v>
      </c>
      <c r="DE79" s="39" t="s">
        <v>82</v>
      </c>
      <c r="DF79" s="39" t="s">
        <v>83</v>
      </c>
      <c r="DG79" s="39" t="s">
        <v>179</v>
      </c>
      <c r="DH79" s="39" t="s">
        <v>60</v>
      </c>
      <c r="DI79" s="206">
        <v>1</v>
      </c>
      <c r="DJ79" s="206">
        <v>2</v>
      </c>
      <c r="DK79" s="206">
        <v>3</v>
      </c>
      <c r="DL79" s="39" t="s">
        <v>185</v>
      </c>
      <c r="DM79" s="39" t="s">
        <v>183</v>
      </c>
      <c r="DN79" s="39" t="s">
        <v>186</v>
      </c>
      <c r="DO79" s="39" t="s">
        <v>187</v>
      </c>
      <c r="DP79" s="39" t="s">
        <v>150</v>
      </c>
      <c r="DQ79" s="39" t="s">
        <v>188</v>
      </c>
      <c r="DR79" s="39" t="s">
        <v>150</v>
      </c>
      <c r="DS79" s="39" t="s">
        <v>188</v>
      </c>
      <c r="DT79" s="39" t="s">
        <v>150</v>
      </c>
      <c r="DU79" s="39" t="s">
        <v>188</v>
      </c>
      <c r="DV79" s="39" t="s">
        <v>150</v>
      </c>
      <c r="DW79" s="39" t="s">
        <v>188</v>
      </c>
    </row>
    <row r="80" spans="3:127" x14ac:dyDescent="0.15">
      <c r="C80" s="208" t="s">
        <v>41</v>
      </c>
      <c r="D80" s="48">
        <v>5.5</v>
      </c>
      <c r="E80" s="40">
        <f>DEGREES(ASIN(COS(RADIANS($A$43))*COS(RADIANS($C$83))*COS(RADIANS(F80))+SIN(RADIANS($A$43))*SIN(RADIANS($C$83))))</f>
        <v>8.2066082237478497</v>
      </c>
      <c r="F80" s="181">
        <f t="shared" ref="F80:F110" si="133">15*(12-D80)</f>
        <v>97.5</v>
      </c>
      <c r="G80" s="40">
        <f>IF(COS(RADIANS(F80))&gt;=((TAN(RADIANS($C$83)))/(TAN(RADIANS($A$43)))),H80,IF(D80&lt;12,I80,J80))</f>
        <v>111.2685465643892</v>
      </c>
      <c r="H80" s="40">
        <f>DEGREES(ASIN(COS(RADIANS($C$83))*SIN(RADIANS(F80))/COS(RADIANS(E80))))</f>
        <v>68.731453435610803</v>
      </c>
      <c r="I80" s="40">
        <f>180-H80</f>
        <v>111.2685465643892</v>
      </c>
      <c r="J80" s="40">
        <f>180-H80-360</f>
        <v>-248.7314534356108</v>
      </c>
      <c r="K80" s="40">
        <f>ABS(1/SIN(RADIANS(E80)))</f>
        <v>7.0055931113928001</v>
      </c>
      <c r="L80" s="40">
        <f>IF(E80&gt;0,$C$87*EXP(-$C$89*K80),0)</f>
        <v>251.51825674175873</v>
      </c>
      <c r="M80" s="41">
        <f>COS(RADIANS(E80))*COS(RADIANS(G80-Insolation!$L$6))*SIN(RADIANS(0))+(SIN(RADIANS(E80))*COS(RADIANS(0)))</f>
        <v>0.14274308885763812</v>
      </c>
      <c r="N80" s="41">
        <f>COS(RADIANS(E80))*COS(RADIANS(G80-Insolation!$L$6))*SIN(RADIANS(Insolation!$L$7))+SIN(RADIANS(E80))*COS(RADIANS(Insolation!$L$7))</f>
        <v>-0.14203224393974953</v>
      </c>
      <c r="O80" s="40">
        <f>L80*M80</f>
        <v>35.902492871407105</v>
      </c>
      <c r="P80" s="40">
        <f>$C$91*L80</f>
        <v>33.92135077188167</v>
      </c>
      <c r="Q80" s="40">
        <f>IF(N80&lt;0,0,L80*N80)</f>
        <v>0</v>
      </c>
      <c r="R80" s="40">
        <f>$C$91*L80*((1+COS(RADIANS(Insolation!$L$7)))/2)</f>
        <v>30.954389507592563</v>
      </c>
      <c r="S80" s="40">
        <f>L80*COS(RADIANS($C$83))</f>
        <v>233.98910252140482</v>
      </c>
      <c r="T80" s="40">
        <f>$C$91*L80*((1+COS(RADIANS(90-E80+$C$83)))/2)</f>
        <v>13.055786072020839</v>
      </c>
      <c r="U80" s="40">
        <f>L80</f>
        <v>251.51825674175873</v>
      </c>
      <c r="V80" s="40">
        <f>$C$91*L80*((1+COS(RADIANS(90-E80)))/2)</f>
        <v>19.381694579641742</v>
      </c>
      <c r="X80" s="208" t="s">
        <v>41</v>
      </c>
      <c r="Y80" s="48">
        <v>5.5</v>
      </c>
      <c r="Z80" s="40">
        <f>DEGREES(ASIN(COS(RADIANS($A$43))*COS(RADIANS($X$83))*COS(RADIANS(AA80))+SIN(RADIANS($A$43))*SIN(RADIANS($X$83))))</f>
        <v>3.2124137187108714</v>
      </c>
      <c r="AA80" s="181">
        <f t="shared" ref="AA80:AA110" si="134">15*(12-Y80)</f>
        <v>97.5</v>
      </c>
      <c r="AB80" s="40">
        <f>IF(COS(RADIANS(AA80))&gt;=((TAN(RADIANS($X$83)))/(TAN(RADIANS($A$43)))),AC80,IF(Y80&lt;12,AD80,AE80))</f>
        <v>105.33212425497088</v>
      </c>
      <c r="AC80" s="40">
        <f>DEGREES(ASIN(COS(RADIANS($X$83))*SIN(RADIANS(AA80))/COS(RADIANS(Z80))))</f>
        <v>74.667875745029122</v>
      </c>
      <c r="AD80" s="40">
        <f>180-AC80</f>
        <v>105.33212425497088</v>
      </c>
      <c r="AE80" s="40">
        <f>180-AC80-360</f>
        <v>-254.66787574502911</v>
      </c>
      <c r="AF80" s="40">
        <f>ABS(1/SIN(RADIANS(Z80)))</f>
        <v>17.845089098296295</v>
      </c>
      <c r="AG80" s="40">
        <f>IF(Z80&gt;0,$X$87*EXP(-$X$89*AF80),0)</f>
        <v>29.737886545775652</v>
      </c>
      <c r="AH80" s="41">
        <f>COS(RADIANS(Z80))*COS(RADIANS(AB80-Insolation!$L$6))*SIN(RADIANS(0))+(SIN(RADIANS(Z80))*COS(RADIANS(0)))</f>
        <v>5.6037826120771336E-2</v>
      </c>
      <c r="AI80" s="41">
        <f>COS(RADIANS(Z80))*COS(RADIANS(AB80-Insolation!$L$6))*SIN(RADIANS(Insolation!$L$7))+SIN(RADIANS(Z80))*COS(RADIANS(Insolation!$L$7))</f>
        <v>-0.16277174468103314</v>
      </c>
      <c r="AJ80" s="40">
        <f>AG80*AH80</f>
        <v>1.6664465154514012</v>
      </c>
      <c r="AK80" s="40">
        <f>$X$91*AG80</f>
        <v>3.7963838592169821</v>
      </c>
      <c r="AL80" s="40">
        <f>IF(AI80&lt;0,0,AG80*AI80)</f>
        <v>0</v>
      </c>
      <c r="AM80" s="40">
        <f>$X$91*AG80*((1+COS(RADIANS(Insolation!$L$7)))/2)</f>
        <v>3.4643297517488918</v>
      </c>
      <c r="AN80" s="40">
        <f>AG80*COS(RADIANS($X$83))</f>
        <v>28.881514680190925</v>
      </c>
      <c r="AO80" s="40">
        <f>$X$91*AG80*((1+COS(RADIANS(90-Z80+$X$83)))/2)</f>
        <v>1.5499564716472771</v>
      </c>
      <c r="AP80" s="40">
        <f>AG80</f>
        <v>29.737886545775652</v>
      </c>
      <c r="AQ80" s="40">
        <f>$X$91*AG80*((1+COS(RADIANS(90-Z80)))/2)</f>
        <v>2.0045624789037433</v>
      </c>
      <c r="AS80" s="208" t="s">
        <v>41</v>
      </c>
      <c r="AT80" s="48">
        <v>5.5</v>
      </c>
      <c r="AU80" s="40">
        <f>DEGREES(ASIN(COS(RADIANS($A$43))*COS(RADIANS($AS$83))*COS(RADIANS(AV80))+SIN(RADIANS($A$43))*SIN(RADIANS($AS$83))))</f>
        <v>-4.3040671718068397</v>
      </c>
      <c r="AV80" s="181">
        <f t="shared" ref="AV80:AV110" si="135">15*(12-AT80)</f>
        <v>97.5</v>
      </c>
      <c r="AW80" s="40">
        <f>IF(COS(RADIANS(AV80))&gt;=((TAN(RADIANS($AS$83)))/(TAN(RADIANS($A$43)))),AX80,IF(AT80&lt;12,AY80,AZ80))</f>
        <v>96.53390324839593</v>
      </c>
      <c r="AX80" s="40">
        <f>DEGREES(ASIN(COS(RADIANS($AS$83))*SIN(RADIANS(AV80))/COS(RADIANS(AU80))))</f>
        <v>83.46609675160407</v>
      </c>
      <c r="AY80" s="40">
        <f>180-AX80</f>
        <v>96.53390324839593</v>
      </c>
      <c r="AZ80" s="40">
        <f>180-AX80-360</f>
        <v>-263.46609675160408</v>
      </c>
      <c r="BA80" s="40">
        <f>ABS(1/SIN(RADIANS(AU80)))</f>
        <v>13.324536942744043</v>
      </c>
      <c r="BB80" s="40">
        <f>IF(AU80&gt;0,$AS$87*EXP(-$AS$89*BA80),0)</f>
        <v>0</v>
      </c>
      <c r="BC80" s="41">
        <f>COS(RADIANS(AU80))*COS(RADIANS(AW80-Insolation!$L$6))*SIN(RADIANS(0))+(SIN(RADIANS(AU80))*COS(RADIANS(0)))</f>
        <v>-7.5049512361820281E-2</v>
      </c>
      <c r="BD80" s="41">
        <f>COS(RADIANS(AU80))*COS(RADIANS(AW80-Insolation!$L$6))*SIN(RADIANS(Insolation!$L$7))+SIN(RADIANS(AU80))*COS(RADIANS(Insolation!$L$7))</f>
        <v>-0.18816177756489419</v>
      </c>
      <c r="BE80" s="40">
        <f>BB80*BC80</f>
        <v>0</v>
      </c>
      <c r="BF80" s="40">
        <f>$AS$91*BB80</f>
        <v>0</v>
      </c>
      <c r="BG80" s="40">
        <f>IF(BD80&lt;0,0,BB80*BD80)</f>
        <v>0</v>
      </c>
      <c r="BH80" s="40">
        <f>$AS$91*BB80*((1+COS(RADIANS(Insolation!$L$7)))/2)</f>
        <v>0</v>
      </c>
      <c r="BI80" s="40">
        <f>BB80*COS(RADIANS($AS$83))</f>
        <v>0</v>
      </c>
      <c r="BJ80" s="40">
        <f>$AS$91*BB80*((1+COS(RADIANS(90-AU80+$AS$83)))/2)</f>
        <v>0</v>
      </c>
      <c r="BK80" s="40">
        <f>BB80</f>
        <v>0</v>
      </c>
      <c r="BL80" s="40">
        <f>$AS$91*BB80*((1+COS(RADIANS(90-AU80)))/2)</f>
        <v>0</v>
      </c>
      <c r="BN80" s="208" t="s">
        <v>41</v>
      </c>
      <c r="BO80" s="48">
        <v>5.5</v>
      </c>
      <c r="BP80" s="40">
        <f>DEGREES(ASIN(COS(RADIANS($A$43))*COS(RADIANS($BN$83))*COS(RADIANS(BQ80))+SIN(RADIANS($A$43))*SIN(RADIANS($BN$83))))</f>
        <v>-11.875105685941536</v>
      </c>
      <c r="BQ80" s="181">
        <f t="shared" ref="BQ80:BQ110" si="136">15*(12-BO80)</f>
        <v>97.5</v>
      </c>
      <c r="BR80" s="40">
        <f>IF(COS(RADIANS(BQ80))&gt;=((TAN(RADIANS($BN$83)))/(TAN(RADIANS($A$43)))),BS80,IF(BO80&lt;12,BT80,BU80))</f>
        <v>87.363289686077181</v>
      </c>
      <c r="BS80" s="40">
        <f>DEGREES(ASIN(COS(RADIANS($BN$83))*SIN(RADIANS(BQ80))/COS(RADIANS(BP80))))</f>
        <v>87.363289686077181</v>
      </c>
      <c r="BT80" s="40">
        <f>180-BS80</f>
        <v>92.636710313922819</v>
      </c>
      <c r="BU80" s="40">
        <f>180-BS80-360</f>
        <v>-267.36328968607717</v>
      </c>
      <c r="BV80" s="40">
        <f>ABS(1/SIN(RADIANS(BP80)))</f>
        <v>4.8595819947508199</v>
      </c>
      <c r="BW80" s="40">
        <f>IF(BP80&gt;0,$BN$87*EXP(-$BN$89*BV80),0)</f>
        <v>0</v>
      </c>
      <c r="BX80" s="41">
        <f>COS(RADIANS(BP80))*COS(RADIANS(BR80-Insolation!$L$6))*SIN(RADIANS(0))+(SIN(RADIANS(BP80))*COS(RADIANS(0)))</f>
        <v>-0.20577901578369726</v>
      </c>
      <c r="BY80" s="41">
        <f>COS(RADIANS(BP80))*COS(RADIANS(BR80-Insolation!$L$6))*SIN(RADIANS(Insolation!$L$7))+SIN(RADIANS(BP80))*COS(RADIANS(Insolation!$L$7))</f>
        <v>-0.2062022385558267</v>
      </c>
      <c r="BZ80" s="40">
        <f>BW80*BX80</f>
        <v>0</v>
      </c>
      <c r="CA80" s="40">
        <f>$BN$91*BW80</f>
        <v>0</v>
      </c>
      <c r="CB80" s="40">
        <f>IF(BY80&lt;0,0,BW80*BY80)</f>
        <v>0</v>
      </c>
      <c r="CC80" s="40">
        <f>$BN$91*BW80*((1+COS(RADIANS(Insolation!$L$7)))/2)</f>
        <v>0</v>
      </c>
      <c r="CD80" s="40">
        <f>BW80*COS(RADIANS($BN$83))</f>
        <v>0</v>
      </c>
      <c r="CE80" s="40">
        <f>$BN$91*BW80*((1+COS(RADIANS(90-BP80+$BN$83)))/2)</f>
        <v>0</v>
      </c>
      <c r="CF80" s="40">
        <f>BW80</f>
        <v>0</v>
      </c>
      <c r="CG80" s="40">
        <f>$BN$91*BW80*((1+COS(RADIANS(90-BP80)))/2)</f>
        <v>0</v>
      </c>
      <c r="CI80" s="208" t="s">
        <v>41</v>
      </c>
      <c r="CJ80" s="48">
        <v>5.5</v>
      </c>
      <c r="CK80" s="40">
        <f>DEGREES(ASIN(COS(RADIANS($A$43))*COS(RADIANS($CI$83))*COS(RADIANS(CL80))+SIN(RADIANS($A$43))*SIN(RADIANS($CI$83))))</f>
        <v>-17.775941961624607</v>
      </c>
      <c r="CL80" s="181">
        <f t="shared" ref="CL80:CL110" si="137">15*(12-CJ80)</f>
        <v>97.5</v>
      </c>
      <c r="CM80" s="40">
        <f>IF(COS(RADIANS(CL80))&gt;=((TAN(RADIANS($CI$83)))/(TAN(RADIANS($A$43)))),CN80,IF(CJ80&lt;12,CO80,CP80))</f>
        <v>79.59340001730213</v>
      </c>
      <c r="CN80" s="40">
        <f>DEGREES(ASIN(COS(RADIANS($CI$83))*SIN(RADIANS(CL80))/COS(RADIANS(CK80))))</f>
        <v>79.59340001730213</v>
      </c>
      <c r="CO80" s="40">
        <f>180-CN80</f>
        <v>100.40659998269787</v>
      </c>
      <c r="CP80" s="40">
        <f>180-CN80-360</f>
        <v>-259.59340001730214</v>
      </c>
      <c r="CQ80" s="40">
        <f>ABS(1/SIN(RADIANS(CK80)))</f>
        <v>3.275515178322288</v>
      </c>
      <c r="CR80" s="40">
        <f>IF(CK80&gt;0,$CI$87*EXP(-$CI$89*CQ80),0)</f>
        <v>0</v>
      </c>
      <c r="CS80" s="41">
        <f>COS(RADIANS(CK80))*COS(RADIANS(CM80-Insolation!$L$6))*SIN(RADIANS(0))+(SIN(RADIANS(CK80))*COS(RADIANS(0)))</f>
        <v>-0.305295486529297</v>
      </c>
      <c r="CT80" s="41">
        <f>COS(RADIANS(CK80))*COS(RADIANS(CM80-Insolation!$L$6))*SIN(RADIANS(Insolation!$L$7))+SIN(RADIANS(CK80))*COS(RADIANS(Insolation!$L$7))</f>
        <v>-0.21441980368091459</v>
      </c>
      <c r="CU80" s="40">
        <f>CR80*CS80</f>
        <v>0</v>
      </c>
      <c r="CV80" s="40">
        <f>$CI$91*CR80</f>
        <v>0</v>
      </c>
      <c r="CW80" s="40">
        <f>IF(CT80&lt;0,0,CR80*CT80)</f>
        <v>0</v>
      </c>
      <c r="CX80" s="40">
        <f>$CI$91*CR80*((1+COS(RADIANS(Insolation!$L$7)))/2)</f>
        <v>0</v>
      </c>
      <c r="CY80" s="40">
        <f>CR80*COS(RADIANS($CI$83))</f>
        <v>0</v>
      </c>
      <c r="CZ80" s="40">
        <f>$CI$91*CR80*((1+COS(RADIANS(90-CK80+$CI$83)))/2)</f>
        <v>0</v>
      </c>
      <c r="DA80" s="40">
        <f>CR80</f>
        <v>0</v>
      </c>
      <c r="DB80" s="40">
        <f>$CI$91*CR80*((1+COS(RADIANS(90-CK80)))/2)</f>
        <v>0</v>
      </c>
      <c r="DD80" s="208" t="s">
        <v>41</v>
      </c>
      <c r="DE80" s="48">
        <v>5.5</v>
      </c>
      <c r="DF80" s="40">
        <f>DEGREES(ASIN(COS(RADIANS($A$43))*COS(RADIANS($DD$83))*COS(RADIANS(DG80))+SIN(RADIANS($A$43))*SIN(RADIANS($DD$83))))</f>
        <v>-20.268787693646761</v>
      </c>
      <c r="DG80" s="181">
        <f t="shared" ref="DG80:DG110" si="138">15*(12-DE80)</f>
        <v>97.5</v>
      </c>
      <c r="DH80" s="40">
        <f>IF(COS(RADIANS(DG80))&gt;=((TAN(RADIANS($DD$83)))/(TAN(RADIANS($A$43)))),DI80,IF(DE80&lt;12,DJ80,DK80))</f>
        <v>76.034083855529389</v>
      </c>
      <c r="DI80" s="40">
        <f>DEGREES(ASIN(COS(RADIANS($DD$83))*SIN(RADIANS(DG80))/COS(RADIANS(DF80))))</f>
        <v>76.034083855529389</v>
      </c>
      <c r="DJ80" s="40">
        <f>180-DI80</f>
        <v>103.96591614447061</v>
      </c>
      <c r="DK80" s="40">
        <f>180-DI80-360</f>
        <v>-256.03408385552939</v>
      </c>
      <c r="DL80" s="40">
        <f>ABS(1/SIN(RADIANS(DF80)))</f>
        <v>2.8866303796605068</v>
      </c>
      <c r="DM80" s="40">
        <f>IF(DF80&gt;0,$DD$87*EXP(-$DD$89*DL80),0)</f>
        <v>0</v>
      </c>
      <c r="DN80" s="41">
        <f>COS(RADIANS(DF80))*COS(RADIANS(DH80-Insolation!$L$6))*SIN(RADIANS(0))+(SIN(RADIANS(DF80))*COS(RADIANS(0)))</f>
        <v>-0.34642467807659144</v>
      </c>
      <c r="DO80" s="41">
        <f>COS(RADIANS(DF80))*COS(RADIANS(DH80-Insolation!$L$6))*SIN(RADIANS(Insolation!$L$7))+SIN(RADIANS(DF80))*COS(RADIANS(Insolation!$L$7))</f>
        <v>-0.21615706584409591</v>
      </c>
      <c r="DP80" s="40">
        <f>DM80*DN80</f>
        <v>0</v>
      </c>
      <c r="DQ80" s="40">
        <f>$DD$91*DM80</f>
        <v>0</v>
      </c>
      <c r="DR80" s="40">
        <f>IF(DO80&lt;0,0,DM80*DO80)</f>
        <v>0</v>
      </c>
      <c r="DS80" s="40">
        <f>$DD$91*DM80*((1+COS(RADIANS(Insolation!$L$7)))/2)</f>
        <v>0</v>
      </c>
      <c r="DT80" s="40">
        <f>DM80*COS(RADIANS($DD$83))</f>
        <v>0</v>
      </c>
      <c r="DU80" s="40">
        <f>$DD$91*DM80*((1+COS(RADIANS(90-DF80+$DD$83)))/2)</f>
        <v>0</v>
      </c>
      <c r="DV80" s="40">
        <f>DM80</f>
        <v>0</v>
      </c>
      <c r="DW80" s="40">
        <f>$DD$91*DM80*((1+COS(RADIANS(90-DF80)))/2)</f>
        <v>0</v>
      </c>
    </row>
    <row r="81" spans="3:127" x14ac:dyDescent="0.15">
      <c r="C81" s="48">
        <f>H41</f>
        <v>196</v>
      </c>
      <c r="D81" s="48">
        <v>6</v>
      </c>
      <c r="E81" s="40">
        <f t="shared" ref="E81:E110" si="139">DEGREES(ASIN(COS(RADIANS($A$43))*COS(RADIANS($C$83))*COS(RADIANS(F81))+SIN(RADIANS($A$43))*SIN(RADIANS($C$83))))</f>
        <v>13.63662640809588</v>
      </c>
      <c r="F81" s="181">
        <f t="shared" si="133"/>
        <v>90</v>
      </c>
      <c r="G81" s="40">
        <f t="shared" ref="G81:G110" si="140">IF(COS(RADIANS(F81))&gt;=((TAN(RADIANS($C$83)))/(TAN(RADIANS($A$43)))),H81,IF(D81&lt;12,I81,J81))</f>
        <v>106.80540357308712</v>
      </c>
      <c r="H81" s="40">
        <f t="shared" ref="H81:H110" si="141">DEGREES(ASIN(COS(RADIANS($C$83))*SIN(RADIANS(F81))/COS(RADIANS(E81))))</f>
        <v>73.194596426912881</v>
      </c>
      <c r="I81" s="40">
        <f t="shared" ref="I81:I110" si="142">180-H81</f>
        <v>106.80540357308712</v>
      </c>
      <c r="J81" s="40">
        <f t="shared" ref="J81:J90" si="143">180-H81-360</f>
        <v>-253.19459642691288</v>
      </c>
      <c r="K81" s="40">
        <f t="shared" ref="K81:K110" si="144">ABS(1/SIN(RADIANS(E81)))</f>
        <v>4.2415405952768213</v>
      </c>
      <c r="L81" s="40">
        <f t="shared" ref="L81:L110" si="145">IF(E81&gt;0,$C$87*EXP(-$C$89*K81),0)</f>
        <v>448.03857347110824</v>
      </c>
      <c r="M81" s="41">
        <f>COS(RADIANS(E81))*COS(RADIANS(G81-Insolation!$L$6))*SIN(RADIANS(0))+(SIN(RADIANS(E81))*COS(RADIANS(0)))</f>
        <v>0.23576339246017181</v>
      </c>
      <c r="N81" s="41">
        <f>COS(RADIANS(E81))*COS(RADIANS(G81-Insolation!$L$6))*SIN(RADIANS(Insolation!$L$7))+SIN(RADIANS(E81))*COS(RADIANS(Insolation!$L$7))</f>
        <v>-2.1959765112324253E-2</v>
      </c>
      <c r="O81" s="40">
        <f t="shared" ref="O81:O110" si="146">L81*M81</f>
        <v>105.63109403456441</v>
      </c>
      <c r="P81" s="40">
        <f t="shared" ref="P81:P110" si="147">$C$91*L81</f>
        <v>60.425329782924074</v>
      </c>
      <c r="Q81" s="40">
        <f t="shared" ref="Q81:Q110" si="148">IF(N81&lt;0,0,L81*N81)</f>
        <v>0</v>
      </c>
      <c r="R81" s="40">
        <f>$C$91*L81*((1+COS(RADIANS(Insolation!$L$7)))/2)</f>
        <v>55.140174305081473</v>
      </c>
      <c r="S81" s="40">
        <f t="shared" ref="S81:S110" si="149">L81*COS(RADIANS($C$83))</f>
        <v>416.81325665799875</v>
      </c>
      <c r="T81" s="40">
        <f t="shared" ref="T81:T110" si="150">$C$91*L81*((1+COS(RADIANS(90-E81+$C$83)))/2)</f>
        <v>26.07017459605818</v>
      </c>
      <c r="U81" s="40">
        <f t="shared" ref="U81:U110" si="151">L81</f>
        <v>448.03857347110824</v>
      </c>
      <c r="V81" s="40">
        <f t="shared" ref="V81:V110" si="152">$C$91*L81*((1+COS(RADIANS(90-E81)))/2)</f>
        <v>37.335705261535452</v>
      </c>
      <c r="X81" s="48">
        <f>I41</f>
        <v>227</v>
      </c>
      <c r="Y81" s="48">
        <v>6</v>
      </c>
      <c r="Z81" s="40">
        <f t="shared" ref="Z81:Z110" si="153">DEGREES(ASIN(COS(RADIANS($A$43))*COS(RADIANS($X$83))*COS(RADIANS(AA81))+SIN(RADIANS($A$43))*SIN(RADIANS($X$83))))</f>
        <v>8.809360206972924</v>
      </c>
      <c r="AA81" s="181">
        <f t="shared" si="134"/>
        <v>90</v>
      </c>
      <c r="AB81" s="40">
        <f t="shared" ref="AB81:AB110" si="154">IF(COS(RADIANS(AA81))&gt;=((TAN(RADIANS($X$83)))/(TAN(RADIANS($A$43)))),AC81,IF(Y81&lt;12,AD81,AE81))</f>
        <v>100.64320892376998</v>
      </c>
      <c r="AC81" s="40">
        <f t="shared" ref="AC81:AC110" si="155">DEGREES(ASIN(COS(RADIANS($X$83))*SIN(RADIANS(AA81))/COS(RADIANS(Z81))))</f>
        <v>79.356791076230024</v>
      </c>
      <c r="AD81" s="40">
        <f t="shared" ref="AD81:AD110" si="156">180-AC81</f>
        <v>100.64320892376998</v>
      </c>
      <c r="AE81" s="40">
        <f t="shared" ref="AE81:AE90" si="157">180-AC81-360</f>
        <v>-259.35679107623002</v>
      </c>
      <c r="AF81" s="40">
        <f t="shared" ref="AF81:AF110" si="158">ABS(1/SIN(RADIANS(Z81)))</f>
        <v>6.5296622686994557</v>
      </c>
      <c r="AG81" s="40">
        <f t="shared" ref="AG81:AG110" si="159">IF(Z81&gt;0,$X$87*EXP(-$X$89*AF81),0)</f>
        <v>294.32594880002586</v>
      </c>
      <c r="AH81" s="41">
        <f>COS(RADIANS(Z81))*COS(RADIANS(AB81-Insolation!$L$6))*SIN(RADIANS(0))+(SIN(RADIANS(Z81))*COS(RADIANS(0)))</f>
        <v>0.15314727758487498</v>
      </c>
      <c r="AI81" s="41">
        <f>COS(RADIANS(Z81))*COS(RADIANS(AB81-Insolation!$L$6))*SIN(RADIANS(Insolation!$L$7))+SIN(RADIANS(Z81))*COS(RADIANS(Insolation!$L$7))</f>
        <v>-3.7420911547987323E-2</v>
      </c>
      <c r="AJ81" s="40">
        <f t="shared" ref="AJ81:AJ110" si="160">AG81*AH81</f>
        <v>45.075217781309263</v>
      </c>
      <c r="AK81" s="40">
        <f t="shared" ref="AK81:AK110" si="161">$X$91*AG81</f>
        <v>37.574098604928203</v>
      </c>
      <c r="AL81" s="40">
        <f t="shared" ref="AL81:AL110" si="162">IF(AI81&lt;0,0,AG81*AI81)</f>
        <v>0</v>
      </c>
      <c r="AM81" s="40">
        <f>$X$91*AG81*((1+COS(RADIANS(Insolation!$L$7)))/2)</f>
        <v>34.287646486582403</v>
      </c>
      <c r="AN81" s="40">
        <f t="shared" ref="AN81:AN110" si="163">AG81*COS(RADIANS($X$83))</f>
        <v>285.85014600631058</v>
      </c>
      <c r="AO81" s="40">
        <f t="shared" ref="AO81:AO110" si="164">$X$91*AG81*((1+COS(RADIANS(90-Z81+$X$83)))/2)</f>
        <v>17.158076460452996</v>
      </c>
      <c r="AP81" s="40">
        <f t="shared" ref="AP81:AP110" si="165">AG81</f>
        <v>294.32594880002586</v>
      </c>
      <c r="AQ81" s="40">
        <f t="shared" ref="AQ81:AQ110" si="166">$X$91*AG81*((1+COS(RADIANS(90-Z81)))/2)</f>
        <v>21.664234756989309</v>
      </c>
      <c r="AS81" s="48">
        <f>J41</f>
        <v>258</v>
      </c>
      <c r="AT81" s="48">
        <v>6</v>
      </c>
      <c r="AU81" s="40">
        <f t="shared" ref="AU81:AU110" si="167">DEGREES(ASIN(COS(RADIANS($A$43))*COS(RADIANS($AS$83))*COS(RADIANS(AV81))+SIN(RADIANS($A$43))*SIN(RADIANS($AS$83))))</f>
        <v>1.4247786681588346</v>
      </c>
      <c r="AV81" s="181">
        <f t="shared" si="135"/>
        <v>90</v>
      </c>
      <c r="AW81" s="40">
        <f t="shared" ref="AW81:AW110" si="168">IF(COS(RADIANS(AV81))&gt;=((TAN(RADIANS($AS$83)))/(TAN(RADIANS($A$43)))),AX81,IF(AT81&lt;12,AY81,AZ81))</f>
        <v>91.698583975470811</v>
      </c>
      <c r="AX81" s="40">
        <f t="shared" ref="AX81:AX110" si="169">DEGREES(ASIN(COS(RADIANS($AS$83))*SIN(RADIANS(AV81))/COS(RADIANS(AU81))))</f>
        <v>88.301416024529189</v>
      </c>
      <c r="AY81" s="40">
        <f t="shared" ref="AY81:AY110" si="170">180-AX81</f>
        <v>91.698583975470811</v>
      </c>
      <c r="AZ81" s="40">
        <f t="shared" ref="AZ81:AZ90" si="171">180-AX81-360</f>
        <v>-268.3014160245292</v>
      </c>
      <c r="BA81" s="40">
        <f t="shared" ref="BA81:BA110" si="172">ABS(1/SIN(RADIANS(AU81)))</f>
        <v>40.217955415548708</v>
      </c>
      <c r="BB81" s="40">
        <f t="shared" ref="BB81:BB110" si="173">IF(AU81&gt;0,$AS$87*EXP(-$AS$89*BA81),0)</f>
        <v>0.58461716243035666</v>
      </c>
      <c r="BC81" s="41">
        <f>COS(RADIANS(AU81))*COS(RADIANS(AW81-Insolation!$L$6))*SIN(RADIANS(0))+(SIN(RADIANS(AU81))*COS(RADIANS(0)))</f>
        <v>2.4864516101516909E-2</v>
      </c>
      <c r="BD81" s="41">
        <f>COS(RADIANS(AU81))*COS(RADIANS(AW81-Insolation!$L$6))*SIN(RADIANS(Insolation!$L$7))+SIN(RADIANS(AU81))*COS(RADIANS(Insolation!$L$7))</f>
        <v>-5.9190740032179681E-2</v>
      </c>
      <c r="BE81" s="40">
        <f t="shared" ref="BE81:BE110" si="174">BB81*BC81</f>
        <v>1.4536222848472729E-2</v>
      </c>
      <c r="BF81" s="40">
        <f t="shared" ref="BF81:BF110" si="175">$AS$91*BB81</f>
        <v>6.5111291193553744E-2</v>
      </c>
      <c r="BG81" s="40">
        <f t="shared" ref="BG81:BG110" si="176">IF(BD81&lt;0,0,BB81*BD81)</f>
        <v>0</v>
      </c>
      <c r="BH81" s="40">
        <f>$AS$91*BB81*((1+COS(RADIANS(Insolation!$L$7)))/2)</f>
        <v>5.9416273912601097E-2</v>
      </c>
      <c r="BI81" s="40">
        <f t="shared" ref="BI81:BI110" si="177">BB81*COS(RADIANS($AS$83))</f>
        <v>0.58417961096044435</v>
      </c>
      <c r="BJ81" s="40">
        <f t="shared" ref="BJ81:BJ110" si="178">$AS$91*BB81*((1+COS(RADIANS(90-AU81+$AS$83)))/2)</f>
        <v>3.2105581563419437E-2</v>
      </c>
      <c r="BK81" s="40">
        <f t="shared" ref="BK81:BK110" si="179">BB81</f>
        <v>0.58461716243035666</v>
      </c>
      <c r="BL81" s="40">
        <f t="shared" ref="BL81:BL110" si="180">$AS$91*BB81*((1+COS(RADIANS(90-AU81)))/2)</f>
        <v>3.3365125970913206E-2</v>
      </c>
      <c r="BN81" s="48">
        <f>K41</f>
        <v>288</v>
      </c>
      <c r="BO81" s="48">
        <v>6</v>
      </c>
      <c r="BP81" s="40">
        <f t="shared" ref="BP81:BP110" si="181">DEGREES(ASIN(COS(RADIANS($A$43))*COS(RADIANS($BN$83))*COS(RADIANS(BQ81))+SIN(RADIANS($A$43))*SIN(RADIANS($BN$83))))</f>
        <v>-6.1533690353707184</v>
      </c>
      <c r="BQ81" s="181">
        <f t="shared" si="136"/>
        <v>90</v>
      </c>
      <c r="BR81" s="40">
        <f t="shared" ref="BR81:BR110" si="182">IF(COS(RADIANS(BQ81))&gt;=((TAN(RADIANS($BN$83)))/(TAN(RADIANS($A$43)))),BS81,IF(BO81&lt;12,BT81,BU81))</f>
        <v>82.617968921168199</v>
      </c>
      <c r="BS81" s="40">
        <f t="shared" ref="BS81:BS110" si="183">DEGREES(ASIN(COS(RADIANS($BN$83))*SIN(RADIANS(BQ81))/COS(RADIANS(BP81))))</f>
        <v>82.617968921168199</v>
      </c>
      <c r="BT81" s="40">
        <f t="shared" ref="BT81:BT110" si="184">180-BS81</f>
        <v>97.382031078831801</v>
      </c>
      <c r="BU81" s="40">
        <f t="shared" ref="BU81:BU90" si="185">180-BS81-360</f>
        <v>-262.6179689211682</v>
      </c>
      <c r="BV81" s="40">
        <f t="shared" ref="BV81:BV110" si="186">ABS(1/SIN(RADIANS(BP81)))</f>
        <v>9.3292096315917181</v>
      </c>
      <c r="BW81" s="40">
        <f t="shared" ref="BW81:BW110" si="187">IF(BP81&gt;0,$BN$87*EXP(-$BN$89*BV81),0)</f>
        <v>0</v>
      </c>
      <c r="BX81" s="41">
        <f>COS(RADIANS(BP81))*COS(RADIANS(BR81-Insolation!$L$6))*SIN(RADIANS(0))+(SIN(RADIANS(BP81))*COS(RADIANS(0)))</f>
        <v>-0.10719021648025541</v>
      </c>
      <c r="BY81" s="41">
        <f>COS(RADIANS(BP81))*COS(RADIANS(BR81-Insolation!$L$6))*SIN(RADIANS(Insolation!$L$7))+SIN(RADIANS(BP81))*COS(RADIANS(Insolation!$L$7))</f>
        <v>-7.8941833477322837E-2</v>
      </c>
      <c r="BZ81" s="40">
        <f t="shared" ref="BZ81:BZ110" si="188">BW81*BX81</f>
        <v>0</v>
      </c>
      <c r="CA81" s="40">
        <f t="shared" ref="CA81:CA110" si="189">$BN$91*BW81</f>
        <v>0</v>
      </c>
      <c r="CB81" s="40">
        <f t="shared" ref="CB81:CB110" si="190">IF(BY81&lt;0,0,BW81*BY81)</f>
        <v>0</v>
      </c>
      <c r="CC81" s="40">
        <f>$BN$91*BW81*((1+COS(RADIANS(Insolation!$L$7)))/2)</f>
        <v>0</v>
      </c>
      <c r="CD81" s="40">
        <f t="shared" ref="CD81:CD110" si="191">BW81*COS(RADIANS($BN$83))</f>
        <v>0</v>
      </c>
      <c r="CE81" s="40">
        <f t="shared" ref="CE81:CE110" si="192">$BN$91*BW81*((1+COS(RADIANS(90-BP81+$BN$83)))/2)</f>
        <v>0</v>
      </c>
      <c r="CF81" s="40">
        <f t="shared" ref="CF81:CF110" si="193">BW81</f>
        <v>0</v>
      </c>
      <c r="CG81" s="40">
        <f t="shared" ref="CG81:CG110" si="194">$BN$91*BW81*((1+COS(RADIANS(90-BP81)))/2)</f>
        <v>0</v>
      </c>
      <c r="CI81" s="48">
        <f>L41</f>
        <v>319</v>
      </c>
      <c r="CJ81" s="48">
        <v>6</v>
      </c>
      <c r="CK81" s="40">
        <f t="shared" ref="CK81:CK110" si="195">DEGREES(ASIN(COS(RADIANS($A$43))*COS(RADIANS($CI$83))*COS(RADIANS(CL81))+SIN(RADIANS($A$43))*SIN(RADIANS($CI$83))))</f>
        <v>-12.171492453947522</v>
      </c>
      <c r="CL81" s="181">
        <f t="shared" si="137"/>
        <v>90</v>
      </c>
      <c r="CM81" s="40">
        <f t="shared" ref="CM81:CM110" si="196">IF(COS(RADIANS(CL81))&gt;=((TAN(RADIANS($CI$83)))/(TAN(RADIANS($A$43)))),CN81,IF(CJ81&lt;12,CO81,CP81))</f>
        <v>75.105167310046127</v>
      </c>
      <c r="CN81" s="40">
        <f t="shared" ref="CN81:CN110" si="197">DEGREES(ASIN(COS(RADIANS($CI$83))*SIN(RADIANS(CL81))/COS(RADIANS(CK81))))</f>
        <v>75.105167310046127</v>
      </c>
      <c r="CO81" s="40">
        <f t="shared" ref="CO81:CO110" si="198">180-CN81</f>
        <v>104.89483268995387</v>
      </c>
      <c r="CP81" s="40">
        <f t="shared" ref="CP81:CP90" si="199">180-CN81-360</f>
        <v>-255.10516731004611</v>
      </c>
      <c r="CQ81" s="40">
        <f t="shared" ref="CQ81:CQ110" si="200">ABS(1/SIN(RADIANS(CK81)))</f>
        <v>4.7429677514464217</v>
      </c>
      <c r="CR81" s="40">
        <f t="shared" ref="CR81:CR110" si="201">IF(CK81&gt;0,$CI$87*EXP(-$CI$89*CQ81),0)</f>
        <v>0</v>
      </c>
      <c r="CS81" s="41">
        <f>COS(RADIANS(CK81))*COS(RADIANS(CM81-Insolation!$L$6))*SIN(RADIANS(0))+(SIN(RADIANS(CK81))*COS(RADIANS(0)))</f>
        <v>-0.21083845651175653</v>
      </c>
      <c r="CT81" s="41">
        <f>COS(RADIANS(CK81))*COS(RADIANS(CM81-Insolation!$L$6))*SIN(RADIANS(Insolation!$L$7))+SIN(RADIANS(CK81))*COS(RADIANS(Insolation!$L$7))</f>
        <v>-9.2492769499812916E-2</v>
      </c>
      <c r="CU81" s="40">
        <f t="shared" ref="CU81:CU110" si="202">CR81*CS81</f>
        <v>0</v>
      </c>
      <c r="CV81" s="40">
        <f t="shared" ref="CV81:CV110" si="203">$CI$91*CR81</f>
        <v>0</v>
      </c>
      <c r="CW81" s="40">
        <f t="shared" ref="CW81:CW110" si="204">IF(CT81&lt;0,0,CR81*CT81)</f>
        <v>0</v>
      </c>
      <c r="CX81" s="40">
        <f>$CI$91*CR81*((1+COS(RADIANS(Insolation!$L$7)))/2)</f>
        <v>0</v>
      </c>
      <c r="CY81" s="40">
        <f t="shared" ref="CY81:CY110" si="205">CR81*COS(RADIANS($CI$83))</f>
        <v>0</v>
      </c>
      <c r="CZ81" s="40">
        <f t="shared" ref="CZ81:CZ110" si="206">$CI$91*CR81*((1+COS(RADIANS(90-CK81+$CI$83)))/2)</f>
        <v>0</v>
      </c>
      <c r="DA81" s="40">
        <f t="shared" ref="DA81:DA110" si="207">CR81</f>
        <v>0</v>
      </c>
      <c r="DB81" s="40">
        <f t="shared" ref="DB81:DB110" si="208">$CI$91*CR81*((1+COS(RADIANS(90-CK81)))/2)</f>
        <v>0</v>
      </c>
      <c r="DD81" s="48">
        <f>M41</f>
        <v>349</v>
      </c>
      <c r="DE81" s="48">
        <v>6</v>
      </c>
      <c r="DF81" s="40">
        <f t="shared" ref="DF81:DF110" si="209">DEGREES(ASIN(COS(RADIANS($A$43))*COS(RADIANS($DD$83))*COS(RADIANS(DG81))+SIN(RADIANS($A$43))*SIN(RADIANS($DD$83))))</f>
        <v>-14.750749376009995</v>
      </c>
      <c r="DG81" s="181">
        <f t="shared" si="138"/>
        <v>90</v>
      </c>
      <c r="DH81" s="40">
        <f t="shared" ref="DH81:DH110" si="210">IF(COS(RADIANS(DG81))&gt;=((TAN(RADIANS($DD$83)))/(TAN(RADIANS($A$43)))),DI81,IF(DE81&lt;12,DJ81,DK81))</f>
        <v>71.712868832958648</v>
      </c>
      <c r="DI81" s="40">
        <f t="shared" ref="DI81:DI110" si="211">DEGREES(ASIN(COS(RADIANS($DD$83))*SIN(RADIANS(DG81))/COS(RADIANS(DF81))))</f>
        <v>71.712868832958648</v>
      </c>
      <c r="DJ81" s="40">
        <f t="shared" ref="DJ81:DJ110" si="212">180-DI81</f>
        <v>108.28713116704135</v>
      </c>
      <c r="DK81" s="40">
        <f t="shared" ref="DK81:DK90" si="213">180-DI81-360</f>
        <v>-251.71286883295863</v>
      </c>
      <c r="DL81" s="40">
        <f t="shared" ref="DL81:DL110" si="214">ABS(1/SIN(RADIANS(DF81)))</f>
        <v>3.927504607801763</v>
      </c>
      <c r="DM81" s="40">
        <f t="shared" ref="DM81:DM110" si="215">IF(DF81&gt;0,$DD$87*EXP(-$DD$89*DL81),0)</f>
        <v>0</v>
      </c>
      <c r="DN81" s="41">
        <f>COS(RADIANS(DF81))*COS(RADIANS(DH81-Insolation!$L$6))*SIN(RADIANS(0))+(SIN(RADIANS(DF81))*COS(RADIANS(0)))</f>
        <v>-0.25461459625370197</v>
      </c>
      <c r="DO81" s="41">
        <f>COS(RADIANS(DF81))*COS(RADIANS(DH81-Insolation!$L$6))*SIN(RADIANS(Insolation!$L$7))+SIN(RADIANS(DF81))*COS(RADIANS(Insolation!$L$7))</f>
        <v>-9.7646765631285673E-2</v>
      </c>
      <c r="DP81" s="40">
        <f t="shared" ref="DP81:DP110" si="216">DM81*DN81</f>
        <v>0</v>
      </c>
      <c r="DQ81" s="40">
        <f t="shared" ref="DQ81:DQ110" si="217">$DD$91*DM81</f>
        <v>0</v>
      </c>
      <c r="DR81" s="40">
        <f t="shared" ref="DR81:DR110" si="218">IF(DO81&lt;0,0,DM81*DO81)</f>
        <v>0</v>
      </c>
      <c r="DS81" s="40">
        <f>$DD$91*DM81*((1+COS(RADIANS(Insolation!$L$7)))/2)</f>
        <v>0</v>
      </c>
      <c r="DT81" s="40">
        <f t="shared" ref="DT81:DT110" si="219">DM81*COS(RADIANS($DD$83))</f>
        <v>0</v>
      </c>
      <c r="DU81" s="40">
        <f t="shared" ref="DU81:DU110" si="220">$DD$91*DM81*((1+COS(RADIANS(90-DF81+$DD$83)))/2)</f>
        <v>0</v>
      </c>
      <c r="DV81" s="40">
        <f t="shared" ref="DV81:DV110" si="221">DM81</f>
        <v>0</v>
      </c>
      <c r="DW81" s="40">
        <f t="shared" ref="DW81:DW110" si="222">$DD$91*DM81*((1+COS(RADIANS(90-DF81)))/2)</f>
        <v>0</v>
      </c>
    </row>
    <row r="82" spans="3:127" x14ac:dyDescent="0.15">
      <c r="C82" s="208" t="s">
        <v>177</v>
      </c>
      <c r="D82" s="48">
        <v>6.5</v>
      </c>
      <c r="E82" s="40">
        <f t="shared" si="139"/>
        <v>19.194967418599436</v>
      </c>
      <c r="F82" s="181">
        <f t="shared" si="133"/>
        <v>82.5</v>
      </c>
      <c r="G82" s="40">
        <f t="shared" si="140"/>
        <v>102.40754098807388</v>
      </c>
      <c r="H82" s="40">
        <f t="shared" si="141"/>
        <v>77.592459011926124</v>
      </c>
      <c r="I82" s="40">
        <f t="shared" si="142"/>
        <v>102.40754098807388</v>
      </c>
      <c r="J82" s="40">
        <f t="shared" si="143"/>
        <v>-257.59245901192611</v>
      </c>
      <c r="K82" s="40">
        <f t="shared" si="144"/>
        <v>3.0415133474540674</v>
      </c>
      <c r="L82" s="40">
        <f t="shared" si="145"/>
        <v>575.67582341450611</v>
      </c>
      <c r="M82" s="41">
        <f>COS(RADIANS(E82))*COS(RADIANS(G82-Insolation!$L$6))*SIN(RADIANS(0))+(SIN(RADIANS(E82))*COS(RADIANS(0)))</f>
        <v>0.32878369606270547</v>
      </c>
      <c r="N82" s="41">
        <f>COS(RADIANS(E82))*COS(RADIANS(G82-Insolation!$L$6))*SIN(RADIANS(Insolation!$L$7))+SIN(RADIANS(E82))*COS(RADIANS(Insolation!$L$7))</f>
        <v>9.9117356474028945E-2</v>
      </c>
      <c r="O82" s="40">
        <f t="shared" si="146"/>
        <v>189.27282495616268</v>
      </c>
      <c r="P82" s="40">
        <f t="shared" si="147"/>
        <v>77.639300581607259</v>
      </c>
      <c r="Q82" s="40">
        <f t="shared" si="148"/>
        <v>57.05946580285574</v>
      </c>
      <c r="R82" s="40">
        <f>$C$91*L82*((1+COS(RADIANS(Insolation!$L$7)))/2)</f>
        <v>70.848509761948236</v>
      </c>
      <c r="S82" s="40">
        <f t="shared" si="149"/>
        <v>535.55503687485168</v>
      </c>
      <c r="T82" s="40">
        <f t="shared" si="150"/>
        <v>37.246605045588318</v>
      </c>
      <c r="U82" s="40">
        <f t="shared" si="151"/>
        <v>575.67582341450611</v>
      </c>
      <c r="V82" s="40">
        <f t="shared" si="152"/>
        <v>51.582918393275726</v>
      </c>
      <c r="X82" s="208" t="s">
        <v>177</v>
      </c>
      <c r="Y82" s="48">
        <v>6.5</v>
      </c>
      <c r="Z82" s="40">
        <f t="shared" si="153"/>
        <v>14.492704603134568</v>
      </c>
      <c r="AA82" s="181">
        <f t="shared" si="134"/>
        <v>82.5</v>
      </c>
      <c r="AB82" s="40">
        <f t="shared" si="154"/>
        <v>95.989705559827769</v>
      </c>
      <c r="AC82" s="40">
        <f t="shared" si="155"/>
        <v>84.010294440172231</v>
      </c>
      <c r="AD82" s="40">
        <f t="shared" si="156"/>
        <v>95.989705559827769</v>
      </c>
      <c r="AE82" s="40">
        <f t="shared" si="157"/>
        <v>-264.01029444017223</v>
      </c>
      <c r="AF82" s="40">
        <f t="shared" si="158"/>
        <v>3.9958965491165137</v>
      </c>
      <c r="AG82" s="40">
        <f t="shared" si="159"/>
        <v>491.75229395362368</v>
      </c>
      <c r="AH82" s="41">
        <f>COS(RADIANS(Z82))*COS(RADIANS(AB82-Insolation!$L$6))*SIN(RADIANS(0))+(SIN(RADIANS(Z82))*COS(RADIANS(0)))</f>
        <v>0.25025672904897861</v>
      </c>
      <c r="AI82" s="41">
        <f>COS(RADIANS(Z82))*COS(RADIANS(AB82-Insolation!$L$6))*SIN(RADIANS(Insolation!$L$7))+SIN(RADIANS(Z82))*COS(RADIANS(Insolation!$L$7))</f>
        <v>8.897872817306765E-2</v>
      </c>
      <c r="AJ82" s="40">
        <f t="shared" si="160"/>
        <v>123.06432058716568</v>
      </c>
      <c r="AK82" s="40">
        <f t="shared" si="161"/>
        <v>62.777846321552303</v>
      </c>
      <c r="AL82" s="40">
        <f t="shared" si="162"/>
        <v>43.755493692181943</v>
      </c>
      <c r="AM82" s="40">
        <f>$X$91*AG82*((1+COS(RADIANS(Insolation!$L$7)))/2)</f>
        <v>57.28692588197076</v>
      </c>
      <c r="AN82" s="40">
        <f t="shared" si="163"/>
        <v>477.59113866337134</v>
      </c>
      <c r="AO82" s="40">
        <f t="shared" si="164"/>
        <v>31.777408780103226</v>
      </c>
      <c r="AP82" s="40">
        <f t="shared" si="165"/>
        <v>491.75229395362368</v>
      </c>
      <c r="AQ82" s="40">
        <f t="shared" si="166"/>
        <v>39.244212399361722</v>
      </c>
      <c r="AS82" s="208" t="s">
        <v>177</v>
      </c>
      <c r="AT82" s="48">
        <v>6.5</v>
      </c>
      <c r="AU82" s="40">
        <f t="shared" si="167"/>
        <v>7.1679671937748548</v>
      </c>
      <c r="AV82" s="181">
        <f t="shared" si="135"/>
        <v>82.5</v>
      </c>
      <c r="AW82" s="40">
        <f t="shared" si="168"/>
        <v>86.868233616285039</v>
      </c>
      <c r="AX82" s="40">
        <f t="shared" si="169"/>
        <v>86.868233616285039</v>
      </c>
      <c r="AY82" s="40">
        <f t="shared" si="170"/>
        <v>93.131766383714961</v>
      </c>
      <c r="AZ82" s="40">
        <f t="shared" si="171"/>
        <v>-266.86823361628501</v>
      </c>
      <c r="BA82" s="40">
        <f t="shared" si="172"/>
        <v>8.0141983021788388</v>
      </c>
      <c r="BB82" s="40">
        <f t="shared" si="173"/>
        <v>251.65363153720381</v>
      </c>
      <c r="BC82" s="41">
        <f>COS(RADIANS(AU82))*COS(RADIANS(AW82-Insolation!$L$6))*SIN(RADIANS(0))+(SIN(RADIANS(AU82))*COS(RADIANS(0)))</f>
        <v>0.12477854456485407</v>
      </c>
      <c r="BD82" s="41">
        <f>COS(RADIANS(AU82))*COS(RADIANS(AW82-Insolation!$L$6))*SIN(RADIANS(Insolation!$L$7))+SIN(RADIANS(AU82))*COS(RADIANS(Insolation!$L$7))</f>
        <v>7.0859394228059466E-2</v>
      </c>
      <c r="BE82" s="40">
        <f t="shared" si="174"/>
        <v>31.400973877672353</v>
      </c>
      <c r="BF82" s="40">
        <f t="shared" si="175"/>
        <v>28.027731541128169</v>
      </c>
      <c r="BG82" s="40">
        <f t="shared" si="176"/>
        <v>17.832023886017542</v>
      </c>
      <c r="BH82" s="40">
        <f>$AS$91*BB82*((1+COS(RADIANS(Insolation!$L$7)))/2)</f>
        <v>25.576260950595184</v>
      </c>
      <c r="BI82" s="40">
        <f t="shared" si="177"/>
        <v>251.46528363456932</v>
      </c>
      <c r="BJ82" s="40">
        <f t="shared" si="178"/>
        <v>15.223334588462192</v>
      </c>
      <c r="BK82" s="40">
        <f t="shared" si="179"/>
        <v>251.65363153720381</v>
      </c>
      <c r="BL82" s="40">
        <f t="shared" si="180"/>
        <v>15.762495545142299</v>
      </c>
      <c r="BN82" s="208" t="s">
        <v>177</v>
      </c>
      <c r="BO82" s="48">
        <v>6.5</v>
      </c>
      <c r="BP82" s="40">
        <f t="shared" si="181"/>
        <v>-0.49283097915566842</v>
      </c>
      <c r="BQ82" s="181">
        <f t="shared" si="136"/>
        <v>82.5</v>
      </c>
      <c r="BR82" s="40">
        <f t="shared" si="182"/>
        <v>77.849637969801293</v>
      </c>
      <c r="BS82" s="40">
        <f t="shared" si="183"/>
        <v>77.849637969801293</v>
      </c>
      <c r="BT82" s="40">
        <f t="shared" si="184"/>
        <v>102.15036203019871</v>
      </c>
      <c r="BU82" s="40">
        <f t="shared" si="185"/>
        <v>-257.84963796980128</v>
      </c>
      <c r="BV82" s="40">
        <f t="shared" si="186"/>
        <v>116.25991152895803</v>
      </c>
      <c r="BW82" s="40">
        <f t="shared" si="187"/>
        <v>0</v>
      </c>
      <c r="BX82" s="41">
        <f>COS(RADIANS(BP82))*COS(RADIANS(BR82-Insolation!$L$6))*SIN(RADIANS(0))+(SIN(RADIANS(BP82))*COS(RADIANS(0)))</f>
        <v>-8.6014171768135222E-3</v>
      </c>
      <c r="BY82" s="41">
        <f>COS(RADIANS(BP82))*COS(RADIANS(BR82-Insolation!$L$6))*SIN(RADIANS(Insolation!$L$7))+SIN(RADIANS(BP82))*COS(RADIANS(Insolation!$L$7))</f>
        <v>4.9383355519268306E-2</v>
      </c>
      <c r="BZ82" s="40">
        <f t="shared" si="188"/>
        <v>0</v>
      </c>
      <c r="CA82" s="40">
        <f t="shared" si="189"/>
        <v>0</v>
      </c>
      <c r="CB82" s="40">
        <f t="shared" si="190"/>
        <v>0</v>
      </c>
      <c r="CC82" s="40">
        <f>$BN$91*BW82*((1+COS(RADIANS(Insolation!$L$7)))/2)</f>
        <v>0</v>
      </c>
      <c r="CD82" s="40">
        <f t="shared" si="191"/>
        <v>0</v>
      </c>
      <c r="CE82" s="40">
        <f t="shared" si="192"/>
        <v>0</v>
      </c>
      <c r="CF82" s="40">
        <f t="shared" si="193"/>
        <v>0</v>
      </c>
      <c r="CG82" s="40">
        <f t="shared" si="194"/>
        <v>0</v>
      </c>
      <c r="CI82" s="208" t="s">
        <v>177</v>
      </c>
      <c r="CJ82" s="48">
        <v>6.5</v>
      </c>
      <c r="CK82" s="40">
        <f t="shared" si="195"/>
        <v>-6.6833100250452766</v>
      </c>
      <c r="CL82" s="181">
        <f t="shared" si="137"/>
        <v>82.5</v>
      </c>
      <c r="CM82" s="40">
        <f t="shared" si="196"/>
        <v>70.561930267553947</v>
      </c>
      <c r="CN82" s="40">
        <f t="shared" si="197"/>
        <v>70.561930267553947</v>
      </c>
      <c r="CO82" s="40">
        <f t="shared" si="198"/>
        <v>109.43806973244605</v>
      </c>
      <c r="CP82" s="40">
        <f t="shared" si="199"/>
        <v>-250.56193026755395</v>
      </c>
      <c r="CQ82" s="40">
        <f t="shared" si="200"/>
        <v>8.5924363545217215</v>
      </c>
      <c r="CR82" s="40">
        <f t="shared" si="201"/>
        <v>0</v>
      </c>
      <c r="CS82" s="41">
        <f>COS(RADIANS(CK82))*COS(RADIANS(CM82-Insolation!$L$6))*SIN(RADIANS(0))+(SIN(RADIANS(CK82))*COS(RADIANS(0)))</f>
        <v>-0.11638142649421611</v>
      </c>
      <c r="CT82" s="41">
        <f>COS(RADIANS(CK82))*COS(RADIANS(CM82-Insolation!$L$6))*SIN(RADIANS(Insolation!$L$7))+SIN(RADIANS(CK82))*COS(RADIANS(Insolation!$L$7))</f>
        <v>3.0454424448155215E-2</v>
      </c>
      <c r="CU82" s="40">
        <f t="shared" si="202"/>
        <v>0</v>
      </c>
      <c r="CV82" s="40">
        <f t="shared" si="203"/>
        <v>0</v>
      </c>
      <c r="CW82" s="40">
        <f t="shared" si="204"/>
        <v>0</v>
      </c>
      <c r="CX82" s="40">
        <f>$CI$91*CR82*((1+COS(RADIANS(Insolation!$L$7)))/2)</f>
        <v>0</v>
      </c>
      <c r="CY82" s="40">
        <f t="shared" si="205"/>
        <v>0</v>
      </c>
      <c r="CZ82" s="40">
        <f t="shared" si="206"/>
        <v>0</v>
      </c>
      <c r="DA82" s="40">
        <f t="shared" si="207"/>
        <v>0</v>
      </c>
      <c r="DB82" s="40">
        <f t="shared" si="208"/>
        <v>0</v>
      </c>
      <c r="DD82" s="208" t="s">
        <v>177</v>
      </c>
      <c r="DE82" s="48">
        <v>6.5</v>
      </c>
      <c r="DF82" s="40">
        <f t="shared" si="209"/>
        <v>-9.3697179239853128</v>
      </c>
      <c r="DG82" s="181">
        <f t="shared" si="138"/>
        <v>82.5</v>
      </c>
      <c r="DH82" s="40">
        <f t="shared" si="210"/>
        <v>67.317734120804104</v>
      </c>
      <c r="DI82" s="40">
        <f t="shared" si="211"/>
        <v>67.317734120804104</v>
      </c>
      <c r="DJ82" s="40">
        <f t="shared" si="212"/>
        <v>112.6822658791959</v>
      </c>
      <c r="DK82" s="40">
        <f t="shared" si="213"/>
        <v>-247.31773412080412</v>
      </c>
      <c r="DL82" s="40">
        <f t="shared" si="214"/>
        <v>6.142335816031518</v>
      </c>
      <c r="DM82" s="40">
        <f t="shared" si="215"/>
        <v>0</v>
      </c>
      <c r="DN82" s="41">
        <f>COS(RADIANS(DF82))*COS(RADIANS(DH82-Insolation!$L$6))*SIN(RADIANS(0))+(SIN(RADIANS(DF82))*COS(RADIANS(0)))</f>
        <v>-0.16280451443081254</v>
      </c>
      <c r="DO82" s="41">
        <f>COS(RADIANS(DF82))*COS(RADIANS(DH82-Insolation!$L$6))*SIN(RADIANS(Insolation!$L$7))+SIN(RADIANS(DF82))*COS(RADIANS(Insolation!$L$7))</f>
        <v>2.1855106639751126E-2</v>
      </c>
      <c r="DP82" s="40">
        <f t="shared" si="216"/>
        <v>0</v>
      </c>
      <c r="DQ82" s="40">
        <f t="shared" si="217"/>
        <v>0</v>
      </c>
      <c r="DR82" s="40">
        <f t="shared" si="218"/>
        <v>0</v>
      </c>
      <c r="DS82" s="40">
        <f>$DD$91*DM82*((1+COS(RADIANS(Insolation!$L$7)))/2)</f>
        <v>0</v>
      </c>
      <c r="DT82" s="40">
        <f t="shared" si="219"/>
        <v>0</v>
      </c>
      <c r="DU82" s="40">
        <f t="shared" si="220"/>
        <v>0</v>
      </c>
      <c r="DV82" s="40">
        <f t="shared" si="221"/>
        <v>0</v>
      </c>
      <c r="DW82" s="40">
        <f t="shared" si="222"/>
        <v>0</v>
      </c>
    </row>
    <row r="83" spans="3:127" x14ac:dyDescent="0.15">
      <c r="C83" s="40">
        <f>23.45*SIN(RADIANS(360/365*(C81-81)))</f>
        <v>21.517336031092785</v>
      </c>
      <c r="D83" s="48">
        <v>7</v>
      </c>
      <c r="E83" s="40">
        <f t="shared" si="139"/>
        <v>24.847997691252001</v>
      </c>
      <c r="F83" s="181">
        <f t="shared" si="133"/>
        <v>75</v>
      </c>
      <c r="G83" s="40">
        <f t="shared" si="140"/>
        <v>97.99435837804846</v>
      </c>
      <c r="H83" s="40">
        <f t="shared" si="141"/>
        <v>82.00564162195154</v>
      </c>
      <c r="I83" s="40">
        <f t="shared" si="142"/>
        <v>97.99435837804846</v>
      </c>
      <c r="J83" s="40">
        <f t="shared" si="143"/>
        <v>-262.00564162195155</v>
      </c>
      <c r="K83" s="40">
        <f t="shared" si="144"/>
        <v>2.3797489278648802</v>
      </c>
      <c r="L83" s="40">
        <f t="shared" si="145"/>
        <v>661.01469672718611</v>
      </c>
      <c r="M83" s="41">
        <f>COS(RADIANS(E83))*COS(RADIANS(G83-Insolation!$L$6))*SIN(RADIANS(0))+(SIN(RADIANS(E83))*COS(RADIANS(0)))</f>
        <v>0.42021239648049924</v>
      </c>
      <c r="N83" s="41">
        <f>COS(RADIANS(E83))*COS(RADIANS(G83-Insolation!$L$6))*SIN(RADIANS(Insolation!$L$7))+SIN(RADIANS(E83))*COS(RADIANS(Insolation!$L$7))</f>
        <v>0.21912745770004871</v>
      </c>
      <c r="O83" s="40">
        <f t="shared" si="146"/>
        <v>277.7665698205613</v>
      </c>
      <c r="P83" s="40">
        <f t="shared" si="147"/>
        <v>89.148643456422008</v>
      </c>
      <c r="Q83" s="40">
        <f t="shared" si="148"/>
        <v>144.84646999619699</v>
      </c>
      <c r="R83" s="40">
        <f>$C$91*L83*((1+COS(RADIANS(Insolation!$L$7)))/2)</f>
        <v>81.351177675124859</v>
      </c>
      <c r="S83" s="40">
        <f t="shared" si="149"/>
        <v>614.9463567547599</v>
      </c>
      <c r="T83" s="40">
        <f t="shared" si="150"/>
        <v>47.164013074495358</v>
      </c>
      <c r="U83" s="40">
        <f t="shared" si="151"/>
        <v>661.01469672718611</v>
      </c>
      <c r="V83" s="40">
        <f t="shared" si="152"/>
        <v>63.305004283115345</v>
      </c>
      <c r="X83" s="40">
        <f>23.45*SIN(RADIANS(360/365*(X81-81)))</f>
        <v>13.783564166258497</v>
      </c>
      <c r="Y83" s="48">
        <v>7</v>
      </c>
      <c r="Z83" s="40">
        <f t="shared" si="153"/>
        <v>20.224813760748432</v>
      </c>
      <c r="AA83" s="181">
        <f t="shared" si="134"/>
        <v>75</v>
      </c>
      <c r="AB83" s="40">
        <f t="shared" si="154"/>
        <v>91.278655232188243</v>
      </c>
      <c r="AC83" s="40">
        <f t="shared" si="155"/>
        <v>88.721344767811757</v>
      </c>
      <c r="AD83" s="40">
        <f t="shared" si="156"/>
        <v>91.278655232188243</v>
      </c>
      <c r="AE83" s="40">
        <f t="shared" si="157"/>
        <v>-268.72134476781173</v>
      </c>
      <c r="AF83" s="40">
        <f t="shared" si="158"/>
        <v>2.8926429342952393</v>
      </c>
      <c r="AG83" s="40">
        <f t="shared" si="159"/>
        <v>614.90694696231139</v>
      </c>
      <c r="AH83" s="41">
        <f>COS(RADIANS(Z83))*COS(RADIANS(AB83-Insolation!$L$6))*SIN(RADIANS(0))+(SIN(RADIANS(Z83))*COS(RADIANS(0)))</f>
        <v>0.34570461087470478</v>
      </c>
      <c r="AI83" s="41">
        <f>COS(RADIANS(Z83))*COS(RADIANS(AB83-Insolation!$L$6))*SIN(RADIANS(Insolation!$L$7))+SIN(RADIANS(Z83))*COS(RADIANS(Insolation!$L$7))</f>
        <v>0.21426444160190139</v>
      </c>
      <c r="AJ83" s="40">
        <f t="shared" si="160"/>
        <v>212.5761668237586</v>
      </c>
      <c r="AK83" s="40">
        <f t="shared" si="161"/>
        <v>78.49995677314611</v>
      </c>
      <c r="AL83" s="40">
        <f t="shared" si="162"/>
        <v>131.75269362800964</v>
      </c>
      <c r="AM83" s="40">
        <f>$X$91*AG83*((1+COS(RADIANS(Insolation!$L$7)))/2)</f>
        <v>71.633887890436512</v>
      </c>
      <c r="AN83" s="40">
        <f t="shared" si="163"/>
        <v>597.19926593660898</v>
      </c>
      <c r="AO83" s="40">
        <f t="shared" si="164"/>
        <v>43.653212004100091</v>
      </c>
      <c r="AP83" s="40">
        <f t="shared" si="165"/>
        <v>614.90694696231139</v>
      </c>
      <c r="AQ83" s="40">
        <f t="shared" si="166"/>
        <v>52.818876891543859</v>
      </c>
      <c r="AS83" s="40">
        <f>23.45*SIN(RADIANS(360/365*(AS81-81)))</f>
        <v>2.2168867832133294</v>
      </c>
      <c r="AT83" s="48">
        <v>7</v>
      </c>
      <c r="AU83" s="40">
        <f t="shared" si="167"/>
        <v>12.884300558682323</v>
      </c>
      <c r="AV83" s="181">
        <f t="shared" si="135"/>
        <v>75</v>
      </c>
      <c r="AW83" s="40">
        <f t="shared" si="168"/>
        <v>81.944219712538228</v>
      </c>
      <c r="AX83" s="40">
        <f t="shared" si="169"/>
        <v>81.944219712538228</v>
      </c>
      <c r="AY83" s="40">
        <f t="shared" si="170"/>
        <v>98.055780287461772</v>
      </c>
      <c r="AZ83" s="40">
        <f t="shared" si="171"/>
        <v>-261.94421971253826</v>
      </c>
      <c r="BA83" s="40">
        <f t="shared" si="172"/>
        <v>4.4846464838182429</v>
      </c>
      <c r="BB83" s="40">
        <f t="shared" si="173"/>
        <v>489.19695914842407</v>
      </c>
      <c r="BC83" s="41">
        <f>COS(RADIANS(AU83))*COS(RADIANS(AW83-Insolation!$L$6))*SIN(RADIANS(0))+(SIN(RADIANS(AU83))*COS(RADIANS(0)))</f>
        <v>0.22298301629978126</v>
      </c>
      <c r="BD83" s="41">
        <f>COS(RADIANS(AU83))*COS(RADIANS(AW83-Insolation!$L$6))*SIN(RADIANS(Insolation!$L$7))+SIN(RADIANS(AU83))*COS(RADIANS(Insolation!$L$7))</f>
        <v>0.19976343136192612</v>
      </c>
      <c r="BE83" s="40">
        <f t="shared" si="174"/>
        <v>109.08261351559648</v>
      </c>
      <c r="BF83" s="40">
        <f t="shared" si="175"/>
        <v>54.483938729575868</v>
      </c>
      <c r="BG83" s="40">
        <f t="shared" si="176"/>
        <v>97.723663171309184</v>
      </c>
      <c r="BH83" s="40">
        <f>$AS$91*BB83*((1+COS(RADIANS(Insolation!$L$7)))/2)</f>
        <v>49.718452330651267</v>
      </c>
      <c r="BI83" s="40">
        <f t="shared" si="177"/>
        <v>488.83082407352788</v>
      </c>
      <c r="BJ83" s="40">
        <f t="shared" si="178"/>
        <v>32.284668671406912</v>
      </c>
      <c r="BK83" s="40">
        <f t="shared" si="179"/>
        <v>489.19695914842407</v>
      </c>
      <c r="BL83" s="40">
        <f t="shared" si="180"/>
        <v>33.316465863694582</v>
      </c>
      <c r="BN83" s="40">
        <f>23.45*SIN(RADIANS(360/365*(BN81-81)))</f>
        <v>-9.5993972342263252</v>
      </c>
      <c r="BO83" s="48">
        <v>7</v>
      </c>
      <c r="BP83" s="40">
        <f t="shared" si="181"/>
        <v>5.0658436509438847</v>
      </c>
      <c r="BQ83" s="181">
        <f t="shared" si="136"/>
        <v>75</v>
      </c>
      <c r="BR83" s="40">
        <f t="shared" si="182"/>
        <v>72.966864309825283</v>
      </c>
      <c r="BS83" s="40">
        <f t="shared" si="183"/>
        <v>72.966864309825283</v>
      </c>
      <c r="BT83" s="40">
        <f t="shared" si="184"/>
        <v>107.03313569017472</v>
      </c>
      <c r="BU83" s="40">
        <f t="shared" si="185"/>
        <v>-252.96686430982527</v>
      </c>
      <c r="BV83" s="40">
        <f t="shared" si="186"/>
        <v>11.324964128808931</v>
      </c>
      <c r="BW83" s="40">
        <f t="shared" si="187"/>
        <v>170.26393998243194</v>
      </c>
      <c r="BX83" s="41">
        <f>COS(RADIANS(BP83))*COS(RADIANS(BR83-Insolation!$L$6))*SIN(RADIANS(0))+(SIN(RADIANS(BP83))*COS(RADIANS(0)))</f>
        <v>8.830050043656712E-2</v>
      </c>
      <c r="BY83" s="41">
        <f>COS(RADIANS(BP83))*COS(RADIANS(BR83-Insolation!$L$6))*SIN(RADIANS(Insolation!$L$7))+SIN(RADIANS(BP83))*COS(RADIANS(Insolation!$L$7))</f>
        <v>0.17657764887175154</v>
      </c>
      <c r="BZ83" s="40">
        <f t="shared" si="188"/>
        <v>15.03439110675037</v>
      </c>
      <c r="CA83" s="40">
        <f t="shared" si="189"/>
        <v>15.531226318450646</v>
      </c>
      <c r="CB83" s="40">
        <f t="shared" si="190"/>
        <v>30.064806209738844</v>
      </c>
      <c r="CC83" s="40">
        <f>$BN$91*BW83*((1+COS(RADIANS(Insolation!$L$7)))/2)</f>
        <v>14.172773726640887</v>
      </c>
      <c r="CD83" s="40">
        <f t="shared" si="191"/>
        <v>167.87986878870689</v>
      </c>
      <c r="CE83" s="40">
        <f t="shared" si="192"/>
        <v>9.7316419406841401</v>
      </c>
      <c r="CF83" s="40">
        <f t="shared" si="193"/>
        <v>170.26393998243194</v>
      </c>
      <c r="CG83" s="40">
        <f t="shared" si="194"/>
        <v>8.4513206873817115</v>
      </c>
      <c r="CI83" s="40">
        <f>23.45*SIN(RADIANS(360/365*(CI81-81)))</f>
        <v>-19.147817306406722</v>
      </c>
      <c r="CJ83" s="48">
        <v>7</v>
      </c>
      <c r="CK83" s="40">
        <f t="shared" si="195"/>
        <v>-1.3489006253996123</v>
      </c>
      <c r="CL83" s="181">
        <f t="shared" si="137"/>
        <v>75</v>
      </c>
      <c r="CM83" s="40">
        <f t="shared" si="196"/>
        <v>65.886704082684417</v>
      </c>
      <c r="CN83" s="40">
        <f t="shared" si="197"/>
        <v>65.886704082684417</v>
      </c>
      <c r="CO83" s="40">
        <f t="shared" si="198"/>
        <v>114.11329591731558</v>
      </c>
      <c r="CP83" s="40">
        <f t="shared" si="199"/>
        <v>-245.88670408268442</v>
      </c>
      <c r="CQ83" s="40">
        <f t="shared" si="200"/>
        <v>42.479832526603495</v>
      </c>
      <c r="CR83" s="40">
        <f t="shared" si="201"/>
        <v>0</v>
      </c>
      <c r="CS83" s="41">
        <f>COS(RADIANS(CK83))*COS(RADIANS(CM83-Insolation!$L$6))*SIN(RADIANS(0))+(SIN(RADIANS(CK83))*COS(RADIANS(0)))</f>
        <v>-2.3540582448712297E-2</v>
      </c>
      <c r="CT83" s="41">
        <f>COS(RADIANS(CK83))*COS(RADIANS(CM83-Insolation!$L$6))*SIN(RADIANS(Insolation!$L$7))+SIN(RADIANS(CK83))*COS(RADIANS(Insolation!$L$7))</f>
        <v>0.15231811758713784</v>
      </c>
      <c r="CU83" s="40">
        <f t="shared" si="202"/>
        <v>0</v>
      </c>
      <c r="CV83" s="40">
        <f t="shared" si="203"/>
        <v>0</v>
      </c>
      <c r="CW83" s="40">
        <f t="shared" si="204"/>
        <v>0</v>
      </c>
      <c r="CX83" s="40">
        <f>$CI$91*CR83*((1+COS(RADIANS(Insolation!$L$7)))/2)</f>
        <v>0</v>
      </c>
      <c r="CY83" s="40">
        <f t="shared" si="205"/>
        <v>0</v>
      </c>
      <c r="CZ83" s="40">
        <f t="shared" si="206"/>
        <v>0</v>
      </c>
      <c r="DA83" s="40">
        <f t="shared" si="207"/>
        <v>0</v>
      </c>
      <c r="DB83" s="40">
        <f t="shared" si="208"/>
        <v>0</v>
      </c>
      <c r="DD83" s="40">
        <f>23.45*SIN(RADIANS(360/365*(DD81-81)))</f>
        <v>-23.335219545311354</v>
      </c>
      <c r="DE83" s="48">
        <v>7</v>
      </c>
      <c r="DF83" s="40">
        <f t="shared" si="209"/>
        <v>-4.1613446132070422</v>
      </c>
      <c r="DG83" s="181">
        <f t="shared" si="138"/>
        <v>75</v>
      </c>
      <c r="DH83" s="40">
        <f t="shared" si="210"/>
        <v>62.780461742377227</v>
      </c>
      <c r="DI83" s="40">
        <f t="shared" si="211"/>
        <v>62.780461742377227</v>
      </c>
      <c r="DJ83" s="40">
        <f t="shared" si="212"/>
        <v>117.21953825762277</v>
      </c>
      <c r="DK83" s="40">
        <f t="shared" si="213"/>
        <v>-242.78046174237721</v>
      </c>
      <c r="DL83" s="40">
        <f t="shared" si="214"/>
        <v>13.780685897935836</v>
      </c>
      <c r="DM83" s="40">
        <f t="shared" si="215"/>
        <v>0</v>
      </c>
      <c r="DN83" s="41">
        <f>COS(RADIANS(DF83))*COS(RADIANS(DH83-Insolation!$L$6))*SIN(RADIANS(0))+(SIN(RADIANS(DF83))*COS(RADIANS(0)))</f>
        <v>-7.2565328562476467E-2</v>
      </c>
      <c r="DO83" s="41">
        <f>COS(RADIANS(DF83))*COS(RADIANS(DH83-Insolation!$L$6))*SIN(RADIANS(Insolation!$L$7))+SIN(RADIANS(DF83))*COS(RADIANS(Insolation!$L$7))</f>
        <v>0.14030384080227837</v>
      </c>
      <c r="DP83" s="40">
        <f t="shared" si="216"/>
        <v>0</v>
      </c>
      <c r="DQ83" s="40">
        <f t="shared" si="217"/>
        <v>0</v>
      </c>
      <c r="DR83" s="40">
        <f t="shared" si="218"/>
        <v>0</v>
      </c>
      <c r="DS83" s="40">
        <f>$DD$91*DM83*((1+COS(RADIANS(Insolation!$L$7)))/2)</f>
        <v>0</v>
      </c>
      <c r="DT83" s="40">
        <f t="shared" si="219"/>
        <v>0</v>
      </c>
      <c r="DU83" s="40">
        <f t="shared" si="220"/>
        <v>0</v>
      </c>
      <c r="DV83" s="40">
        <f t="shared" si="221"/>
        <v>0</v>
      </c>
      <c r="DW83" s="40">
        <f t="shared" si="222"/>
        <v>0</v>
      </c>
    </row>
    <row r="84" spans="3:127" x14ac:dyDescent="0.15">
      <c r="C84" s="208" t="s">
        <v>180</v>
      </c>
      <c r="D84" s="48">
        <v>7.5</v>
      </c>
      <c r="E84" s="40">
        <f t="shared" si="139"/>
        <v>30.562977150124773</v>
      </c>
      <c r="F84" s="181">
        <f t="shared" si="133"/>
        <v>67.5</v>
      </c>
      <c r="G84" s="40">
        <f t="shared" si="140"/>
        <v>93.470938260822209</v>
      </c>
      <c r="H84" s="40">
        <f t="shared" si="141"/>
        <v>86.529061739177791</v>
      </c>
      <c r="I84" s="40">
        <f t="shared" si="142"/>
        <v>93.470938260822209</v>
      </c>
      <c r="J84" s="40">
        <f t="shared" si="143"/>
        <v>-266.52906173917779</v>
      </c>
      <c r="K84" s="40">
        <f t="shared" si="144"/>
        <v>1.9666258739468991</v>
      </c>
      <c r="L84" s="40">
        <f t="shared" si="145"/>
        <v>720.59011608396509</v>
      </c>
      <c r="M84" s="41">
        <f>COS(RADIANS(E84))*COS(RADIANS(G84-Insolation!$L$6))*SIN(RADIANS(0))+(SIN(RADIANS(E84))*COS(RADIANS(0)))</f>
        <v>0.50848512330058004</v>
      </c>
      <c r="N84" s="41">
        <f>COS(RADIANS(E84))*COS(RADIANS(G84-Insolation!$L$6))*SIN(RADIANS(Insolation!$L$7))+SIN(RADIANS(E84))*COS(RADIANS(Insolation!$L$7))</f>
        <v>0.33601713246067044</v>
      </c>
      <c r="O84" s="40">
        <f t="shared" si="146"/>
        <v>366.40935402613428</v>
      </c>
      <c r="P84" s="40">
        <f t="shared" si="147"/>
        <v>97.183363176422873</v>
      </c>
      <c r="Q84" s="40">
        <f t="shared" si="148"/>
        <v>242.1306244860356</v>
      </c>
      <c r="R84" s="40">
        <f>$C$91*L84*((1+COS(RADIANS(Insolation!$L$7)))/2)</f>
        <v>88.683133453354202</v>
      </c>
      <c r="S84" s="40">
        <f t="shared" si="149"/>
        <v>670.36976453522038</v>
      </c>
      <c r="T84" s="40">
        <f t="shared" si="150"/>
        <v>56.231323873822838</v>
      </c>
      <c r="U84" s="40">
        <f t="shared" si="151"/>
        <v>720.59011608396509</v>
      </c>
      <c r="V84" s="40">
        <f t="shared" si="152"/>
        <v>73.299828791975656</v>
      </c>
      <c r="X84" s="208" t="s">
        <v>180</v>
      </c>
      <c r="Y84" s="48">
        <v>7.5</v>
      </c>
      <c r="Z84" s="40">
        <f t="shared" si="153"/>
        <v>25.967278972511288</v>
      </c>
      <c r="AA84" s="181">
        <f t="shared" si="134"/>
        <v>67.5</v>
      </c>
      <c r="AB84" s="40">
        <f t="shared" si="154"/>
        <v>86.404137413128439</v>
      </c>
      <c r="AC84" s="40">
        <f t="shared" si="155"/>
        <v>86.404137413128439</v>
      </c>
      <c r="AD84" s="40">
        <f t="shared" si="156"/>
        <v>93.595862586871561</v>
      </c>
      <c r="AE84" s="40">
        <f t="shared" si="157"/>
        <v>-266.40413741312841</v>
      </c>
      <c r="AF84" s="40">
        <f t="shared" si="158"/>
        <v>2.2838465776946588</v>
      </c>
      <c r="AG84" s="40">
        <f t="shared" si="159"/>
        <v>695.61768435980332</v>
      </c>
      <c r="AH84" s="41">
        <f>COS(RADIANS(Z84))*COS(RADIANS(AB84-Insolation!$L$6))*SIN(RADIANS(0))+(SIN(RADIANS(Z84))*COS(RADIANS(0)))</f>
        <v>0.43785778334086328</v>
      </c>
      <c r="AI84" s="41">
        <f>COS(RADIANS(Z84))*COS(RADIANS(AB84-Insolation!$L$6))*SIN(RADIANS(Insolation!$L$7))+SIN(RADIANS(Z84))*COS(RADIANS(Insolation!$L$7))</f>
        <v>0.33629255544598929</v>
      </c>
      <c r="AJ84" s="40">
        <f t="shared" si="160"/>
        <v>304.58161732648779</v>
      </c>
      <c r="AK84" s="40">
        <f t="shared" si="161"/>
        <v>88.80361235572029</v>
      </c>
      <c r="AL84" s="40">
        <f t="shared" si="162"/>
        <v>233.93104868677983</v>
      </c>
      <c r="AM84" s="40">
        <f>$X$91*AG84*((1+COS(RADIANS(Insolation!$L$7)))/2)</f>
        <v>81.036325028036075</v>
      </c>
      <c r="AN84" s="40">
        <f t="shared" si="163"/>
        <v>675.58574923314393</v>
      </c>
      <c r="AO84" s="40">
        <f t="shared" si="164"/>
        <v>53.772673134327839</v>
      </c>
      <c r="AP84" s="40">
        <f t="shared" si="165"/>
        <v>695.61768435980332</v>
      </c>
      <c r="AQ84" s="40">
        <f t="shared" si="166"/>
        <v>63.843482607228637</v>
      </c>
      <c r="AS84" s="208" t="s">
        <v>180</v>
      </c>
      <c r="AT84" s="48">
        <v>7.5</v>
      </c>
      <c r="AU84" s="40">
        <f t="shared" si="167"/>
        <v>18.529786782560624</v>
      </c>
      <c r="AV84" s="181">
        <f t="shared" si="135"/>
        <v>67.5</v>
      </c>
      <c r="AW84" s="40">
        <f t="shared" si="168"/>
        <v>76.821421730026515</v>
      </c>
      <c r="AX84" s="40">
        <f t="shared" si="169"/>
        <v>76.821421730026515</v>
      </c>
      <c r="AY84" s="40">
        <f t="shared" si="170"/>
        <v>103.17857826997349</v>
      </c>
      <c r="AZ84" s="40">
        <f t="shared" si="171"/>
        <v>-256.82142173002649</v>
      </c>
      <c r="BA84" s="40">
        <f t="shared" si="172"/>
        <v>3.1466566127242177</v>
      </c>
      <c r="BB84" s="40">
        <f t="shared" si="173"/>
        <v>629.38642725842328</v>
      </c>
      <c r="BC84" s="41">
        <f>COS(RADIANS(AU84))*COS(RADIANS(AW84-Insolation!$L$6))*SIN(RADIANS(0))+(SIN(RADIANS(AU84))*COS(RADIANS(0)))</f>
        <v>0.31779762556749086</v>
      </c>
      <c r="BD84" s="41">
        <f>COS(RADIANS(AU84))*COS(RADIANS(AW84-Insolation!$L$6))*SIN(RADIANS(Insolation!$L$7))+SIN(RADIANS(AU84))*COS(RADIANS(Insolation!$L$7))</f>
        <v>0.32531578755510554</v>
      </c>
      <c r="BE84" s="40">
        <f t="shared" si="174"/>
        <v>200.01751214713323</v>
      </c>
      <c r="BF84" s="40">
        <f t="shared" si="175"/>
        <v>70.097433965386628</v>
      </c>
      <c r="BG84" s="40">
        <f t="shared" si="176"/>
        <v>204.74934126006812</v>
      </c>
      <c r="BH84" s="40">
        <f>$AS$91*BB84*((1+COS(RADIANS(Insolation!$L$7)))/2)</f>
        <v>63.966299250263106</v>
      </c>
      <c r="BI84" s="40">
        <f t="shared" si="177"/>
        <v>628.91536863392969</v>
      </c>
      <c r="BJ84" s="40">
        <f t="shared" si="178"/>
        <v>44.893298728757848</v>
      </c>
      <c r="BK84" s="40">
        <f t="shared" si="179"/>
        <v>629.38642725842328</v>
      </c>
      <c r="BL84" s="40">
        <f t="shared" si="180"/>
        <v>46.187116018980241</v>
      </c>
      <c r="BN84" s="208" t="s">
        <v>180</v>
      </c>
      <c r="BO84" s="48">
        <v>7.5</v>
      </c>
      <c r="BP84" s="40">
        <f t="shared" si="181"/>
        <v>10.477973686283613</v>
      </c>
      <c r="BQ84" s="181">
        <f t="shared" si="136"/>
        <v>67.5</v>
      </c>
      <c r="BR84" s="40">
        <f t="shared" si="182"/>
        <v>67.879025984782388</v>
      </c>
      <c r="BS84" s="40">
        <f t="shared" si="183"/>
        <v>67.879025984782388</v>
      </c>
      <c r="BT84" s="40">
        <f t="shared" si="184"/>
        <v>112.12097401521761</v>
      </c>
      <c r="BU84" s="40">
        <f t="shared" si="185"/>
        <v>-247.8790259847824</v>
      </c>
      <c r="BV84" s="40">
        <f t="shared" si="186"/>
        <v>5.4988103474602132</v>
      </c>
      <c r="BW84" s="40">
        <f t="shared" si="187"/>
        <v>460.27451426740004</v>
      </c>
      <c r="BX84" s="41">
        <f>COS(RADIANS(BP84))*COS(RADIANS(BR84-Insolation!$L$6))*SIN(RADIANS(0))+(SIN(RADIANS(BP84))*COS(RADIANS(0)))</f>
        <v>0.18185751768323477</v>
      </c>
      <c r="BY84" s="41">
        <f>COS(RADIANS(BP84))*COS(RADIANS(BR84-Insolation!$L$6))*SIN(RADIANS(Insolation!$L$7))+SIN(RADIANS(BP84))*COS(RADIANS(Insolation!$L$7))</f>
        <v>0.30046471695594645</v>
      </c>
      <c r="BZ84" s="40">
        <f t="shared" si="188"/>
        <v>83.704380617525999</v>
      </c>
      <c r="CA84" s="40">
        <f t="shared" si="189"/>
        <v>41.985564591301809</v>
      </c>
      <c r="CB84" s="40">
        <f t="shared" si="190"/>
        <v>138.29625165139009</v>
      </c>
      <c r="CC84" s="40">
        <f>$BN$91*BW84*((1+COS(RADIANS(Insolation!$L$7)))/2)</f>
        <v>38.31325965747353</v>
      </c>
      <c r="CD84" s="40">
        <f t="shared" si="191"/>
        <v>453.82965453501095</v>
      </c>
      <c r="CE84" s="40">
        <f t="shared" si="192"/>
        <v>28.199368723324579</v>
      </c>
      <c r="CF84" s="40">
        <f t="shared" si="193"/>
        <v>460.27451426740004</v>
      </c>
      <c r="CG84" s="40">
        <f t="shared" si="194"/>
        <v>24.81047757320254</v>
      </c>
      <c r="CI84" s="208" t="s">
        <v>180</v>
      </c>
      <c r="CJ84" s="48">
        <v>7.5</v>
      </c>
      <c r="CK84" s="40">
        <f t="shared" si="195"/>
        <v>3.7897584203578427</v>
      </c>
      <c r="CL84" s="181">
        <f t="shared" si="137"/>
        <v>67.5</v>
      </c>
      <c r="CM84" s="40">
        <f t="shared" si="196"/>
        <v>61.007010284066411</v>
      </c>
      <c r="CN84" s="40">
        <f t="shared" si="197"/>
        <v>61.007010284066411</v>
      </c>
      <c r="CO84" s="40">
        <f t="shared" si="198"/>
        <v>118.99298971593359</v>
      </c>
      <c r="CP84" s="40">
        <f t="shared" si="199"/>
        <v>-241.00701028406641</v>
      </c>
      <c r="CQ84" s="40">
        <f t="shared" si="200"/>
        <v>15.129613192716734</v>
      </c>
      <c r="CR84" s="40">
        <f t="shared" si="201"/>
        <v>118.90673774598449</v>
      </c>
      <c r="CS84" s="41">
        <f>COS(RADIANS(CK84))*COS(RADIANS(CM84-Insolation!$L$6))*SIN(RADIANS(0))+(SIN(RADIANS(CK84))*COS(RADIANS(0)))</f>
        <v>6.6095543042791832E-2</v>
      </c>
      <c r="CT84" s="41">
        <f>COS(RADIANS(CK84))*COS(RADIANS(CM84-Insolation!$L$6))*SIN(RADIANS(Insolation!$L$7))+SIN(RADIANS(CK84))*COS(RADIANS(Insolation!$L$7))</f>
        <v>0.27101318834052857</v>
      </c>
      <c r="CU84" s="40">
        <f t="shared" si="202"/>
        <v>7.8592054027676781</v>
      </c>
      <c r="CV84" s="40">
        <f t="shared" si="203"/>
        <v>8.5004750120565902</v>
      </c>
      <c r="CW84" s="40">
        <f t="shared" si="204"/>
        <v>32.225294111710333</v>
      </c>
      <c r="CX84" s="40">
        <f>$CI$91*CR84*((1+COS(RADIANS(Insolation!$L$7)))/2)</f>
        <v>7.7569733673716321</v>
      </c>
      <c r="CY84" s="40">
        <f t="shared" si="205"/>
        <v>112.32828158283104</v>
      </c>
      <c r="CZ84" s="40">
        <f t="shared" si="206"/>
        <v>5.9066740618389328</v>
      </c>
      <c r="DA84" s="40">
        <f t="shared" si="207"/>
        <v>118.90673774598449</v>
      </c>
      <c r="DB84" s="40">
        <f t="shared" si="208"/>
        <v>4.5311592620500765</v>
      </c>
      <c r="DD84" s="208" t="s">
        <v>180</v>
      </c>
      <c r="DE84" s="48">
        <v>7.5</v>
      </c>
      <c r="DF84" s="40">
        <f t="shared" si="209"/>
        <v>0.83419550897697459</v>
      </c>
      <c r="DG84" s="181">
        <f t="shared" si="138"/>
        <v>67.5</v>
      </c>
      <c r="DH84" s="40">
        <f t="shared" si="210"/>
        <v>58.037953932527728</v>
      </c>
      <c r="DI84" s="40">
        <f t="shared" si="211"/>
        <v>58.037953932527728</v>
      </c>
      <c r="DJ84" s="40">
        <f t="shared" si="212"/>
        <v>121.96204606747227</v>
      </c>
      <c r="DK84" s="40">
        <f t="shared" si="213"/>
        <v>-238.03795393252773</v>
      </c>
      <c r="DL84" s="40">
        <f t="shared" si="214"/>
        <v>68.686300975804372</v>
      </c>
      <c r="DM84" s="40">
        <f t="shared" si="215"/>
        <v>7.0924508102487543E-2</v>
      </c>
      <c r="DN84" s="41">
        <f>COS(RADIANS(DF84))*COS(RADIANS(DH84-Insolation!$L$6))*SIN(RADIANS(0))+(SIN(RADIANS(DF84))*COS(RADIANS(0)))</f>
        <v>1.4558943862070297E-2</v>
      </c>
      <c r="DO84" s="41">
        <f>COS(RADIANS(DF84))*COS(RADIANS(DH84-Insolation!$L$6))*SIN(RADIANS(Insolation!$L$7))+SIN(RADIANS(DF84))*COS(RADIANS(Insolation!$L$7))</f>
        <v>0.2556727461745818</v>
      </c>
      <c r="DP84" s="40">
        <f t="shared" si="216"/>
        <v>1.0325859319090661E-3</v>
      </c>
      <c r="DQ84" s="40">
        <f t="shared" si="217"/>
        <v>4.1544608511251196E-3</v>
      </c>
      <c r="DR84" s="40">
        <f t="shared" si="218"/>
        <v>1.8133463757644366E-2</v>
      </c>
      <c r="DS84" s="40">
        <f>$DD$91*DM84*((1+COS(RADIANS(Insolation!$L$7)))/2)</f>
        <v>3.7910872195092687E-3</v>
      </c>
      <c r="DT84" s="40">
        <f t="shared" si="219"/>
        <v>6.5123100879031809E-2</v>
      </c>
      <c r="DU84" s="40">
        <f t="shared" si="220"/>
        <v>2.9277235050250839E-3</v>
      </c>
      <c r="DV84" s="40">
        <f t="shared" si="221"/>
        <v>7.0924508102487543E-2</v>
      </c>
      <c r="DW84" s="40">
        <f t="shared" si="222"/>
        <v>2.1074727067169098E-3</v>
      </c>
    </row>
    <row r="85" spans="3:127" x14ac:dyDescent="0.15">
      <c r="C85" s="41">
        <f>1370*(1+0.034*COS(RADIANS(360*C81)/365))</f>
        <v>1324.6721478516747</v>
      </c>
      <c r="D85" s="48">
        <v>8</v>
      </c>
      <c r="E85" s="40">
        <f t="shared" si="139"/>
        <v>36.30556868491054</v>
      </c>
      <c r="F85" s="181">
        <f t="shared" si="133"/>
        <v>60</v>
      </c>
      <c r="G85" s="40">
        <f t="shared" si="140"/>
        <v>88.718500112144568</v>
      </c>
      <c r="H85" s="40">
        <f t="shared" si="141"/>
        <v>88.718500112144568</v>
      </c>
      <c r="I85" s="40">
        <f t="shared" si="142"/>
        <v>91.281499887855432</v>
      </c>
      <c r="J85" s="40">
        <f t="shared" si="143"/>
        <v>-268.71850011214457</v>
      </c>
      <c r="K85" s="40">
        <f t="shared" si="144"/>
        <v>1.6889281308455515</v>
      </c>
      <c r="L85" s="40">
        <f t="shared" si="145"/>
        <v>763.62500441888858</v>
      </c>
      <c r="M85" s="41">
        <f>COS(RADIANS(E85))*COS(RADIANS(G85-Insolation!$L$6))*SIN(RADIANS(0))+(SIN(RADIANS(E85))*COS(RADIANS(0)))</f>
        <v>0.59209150569323288</v>
      </c>
      <c r="N85" s="41">
        <f>COS(RADIANS(E85))*COS(RADIANS(G85-Insolation!$L$6))*SIN(RADIANS(Insolation!$L$7))+SIN(RADIANS(E85))*COS(RADIANS(Insolation!$L$7))</f>
        <v>0.44778636601279997</v>
      </c>
      <c r="O85" s="40">
        <f t="shared" si="146"/>
        <v>452.13587865138135</v>
      </c>
      <c r="P85" s="40">
        <f t="shared" si="147"/>
        <v>102.98732175004054</v>
      </c>
      <c r="Q85" s="40">
        <f t="shared" si="148"/>
        <v>341.94086572524242</v>
      </c>
      <c r="R85" s="40">
        <f>$C$91*L85*((1+COS(RADIANS(Insolation!$L$7)))/2)</f>
        <v>93.979443602731152</v>
      </c>
      <c r="S85" s="40">
        <f t="shared" si="149"/>
        <v>710.4054065957348</v>
      </c>
      <c r="T85" s="40">
        <f t="shared" si="150"/>
        <v>64.637272981875725</v>
      </c>
      <c r="U85" s="40">
        <f t="shared" si="151"/>
        <v>763.62500441888858</v>
      </c>
      <c r="V85" s="40">
        <f t="shared" si="152"/>
        <v>81.982620076167734</v>
      </c>
      <c r="X85" s="41">
        <f>1370*(1+0.034*COS(RADIANS(360*X81)/365))</f>
        <v>1336.4313241737811</v>
      </c>
      <c r="Y85" s="48">
        <v>8</v>
      </c>
      <c r="Z85" s="40">
        <f t="shared" si="153"/>
        <v>31.677633460483612</v>
      </c>
      <c r="AA85" s="181">
        <f t="shared" si="134"/>
        <v>60</v>
      </c>
      <c r="AB85" s="40">
        <f t="shared" si="154"/>
        <v>81.238743842650109</v>
      </c>
      <c r="AC85" s="40">
        <f t="shared" si="155"/>
        <v>81.238743842650109</v>
      </c>
      <c r="AD85" s="40">
        <f t="shared" si="156"/>
        <v>98.761256157349891</v>
      </c>
      <c r="AE85" s="40">
        <f t="shared" si="157"/>
        <v>-261.23874384265014</v>
      </c>
      <c r="AF85" s="40">
        <f t="shared" si="158"/>
        <v>1.9042559888611805</v>
      </c>
      <c r="AG85" s="40">
        <f t="shared" si="159"/>
        <v>751.21900220885937</v>
      </c>
      <c r="AH85" s="41">
        <f>COS(RADIANS(Z85))*COS(RADIANS(AB85-Insolation!$L$6))*SIN(RADIANS(0))+(SIN(RADIANS(Z85))*COS(RADIANS(0)))</f>
        <v>0.52513948011687184</v>
      </c>
      <c r="AI85" s="41">
        <f>COS(RADIANS(Z85))*COS(RADIANS(AB85-Insolation!$L$6))*SIN(RADIANS(Insolation!$L$7))+SIN(RADIANS(Z85))*COS(RADIANS(Insolation!$L$7))</f>
        <v>0.45297513484486979</v>
      </c>
      <c r="AJ85" s="40">
        <f t="shared" si="160"/>
        <v>394.49475627387562</v>
      </c>
      <c r="AK85" s="40">
        <f t="shared" si="161"/>
        <v>95.901761220752334</v>
      </c>
      <c r="AL85" s="40">
        <f t="shared" si="162"/>
        <v>340.28352882358661</v>
      </c>
      <c r="AM85" s="40">
        <f>$X$91*AG85*((1+COS(RADIANS(Insolation!$L$7)))/2)</f>
        <v>87.513627958236867</v>
      </c>
      <c r="AN85" s="40">
        <f t="shared" si="163"/>
        <v>729.5858973345762</v>
      </c>
      <c r="AO85" s="40">
        <f t="shared" si="164"/>
        <v>62.684177861191941</v>
      </c>
      <c r="AP85" s="40">
        <f t="shared" si="165"/>
        <v>751.21900220885937</v>
      </c>
      <c r="AQ85" s="40">
        <f t="shared" si="166"/>
        <v>73.131781125255301</v>
      </c>
      <c r="AS85" s="41">
        <f>1370*(1+0.034*COS(RADIANS(360*AS81)/365))</f>
        <v>1357.5252096655458</v>
      </c>
      <c r="AT85" s="48">
        <v>8</v>
      </c>
      <c r="AU85" s="40">
        <f t="shared" si="167"/>
        <v>24.054163731779436</v>
      </c>
      <c r="AV85" s="181">
        <f t="shared" si="135"/>
        <v>60</v>
      </c>
      <c r="AW85" s="40">
        <f t="shared" si="168"/>
        <v>71.382797990653643</v>
      </c>
      <c r="AX85" s="40">
        <f t="shared" si="169"/>
        <v>71.382797990653643</v>
      </c>
      <c r="AY85" s="40">
        <f t="shared" si="170"/>
        <v>108.61720200934636</v>
      </c>
      <c r="AZ85" s="40">
        <f t="shared" si="171"/>
        <v>-251.38279799065364</v>
      </c>
      <c r="BA85" s="40">
        <f t="shared" si="172"/>
        <v>2.4533852622316283</v>
      </c>
      <c r="BB85" s="40">
        <f t="shared" si="173"/>
        <v>717.16608414471239</v>
      </c>
      <c r="BC85" s="41">
        <f>COS(RADIANS(AU85))*COS(RADIANS(AW85-Insolation!$L$6))*SIN(RADIANS(0))+(SIN(RADIANS(AU85))*COS(RADIANS(0)))</f>
        <v>0.40760006811583605</v>
      </c>
      <c r="BD85" s="41">
        <f>COS(RADIANS(AU85))*COS(RADIANS(AW85-Insolation!$L$6))*SIN(RADIANS(Insolation!$L$7))+SIN(RADIANS(AU85))*COS(RADIANS(Insolation!$L$7))</f>
        <v>0.44536822718344399</v>
      </c>
      <c r="BE85" s="40">
        <f t="shared" si="174"/>
        <v>292.31694474775219</v>
      </c>
      <c r="BF85" s="40">
        <f t="shared" si="175"/>
        <v>79.873826393951816</v>
      </c>
      <c r="BG85" s="40">
        <f t="shared" si="176"/>
        <v>319.40298749162315</v>
      </c>
      <c r="BH85" s="40">
        <f>$AS$91*BB85*((1+COS(RADIANS(Insolation!$L$7)))/2)</f>
        <v>72.8875907768888</v>
      </c>
      <c r="BI85" s="40">
        <f t="shared" si="177"/>
        <v>716.62932762359981</v>
      </c>
      <c r="BJ85" s="40">
        <f t="shared" si="178"/>
        <v>54.792320078459845</v>
      </c>
      <c r="BK85" s="40">
        <f t="shared" si="179"/>
        <v>717.16608414471239</v>
      </c>
      <c r="BL85" s="40">
        <f t="shared" si="180"/>
        <v>56.215201736399528</v>
      </c>
      <c r="BN85" s="41">
        <f>1370*(1+0.034*COS(RADIANS(360*BN81)/365))</f>
        <v>1381.3119400552289</v>
      </c>
      <c r="BO85" s="48">
        <v>8</v>
      </c>
      <c r="BP85" s="40">
        <f t="shared" si="181"/>
        <v>15.692167939097597</v>
      </c>
      <c r="BQ85" s="181">
        <f t="shared" si="136"/>
        <v>60</v>
      </c>
      <c r="BR85" s="40">
        <f t="shared" si="182"/>
        <v>62.493340449251178</v>
      </c>
      <c r="BS85" s="40">
        <f t="shared" si="183"/>
        <v>62.493340449251178</v>
      </c>
      <c r="BT85" s="40">
        <f t="shared" si="184"/>
        <v>117.50665955074882</v>
      </c>
      <c r="BU85" s="40">
        <f t="shared" si="185"/>
        <v>-242.49334044925118</v>
      </c>
      <c r="BV85" s="40">
        <f t="shared" si="186"/>
        <v>3.6972834660099059</v>
      </c>
      <c r="BW85" s="40">
        <f t="shared" si="187"/>
        <v>625.98592801783559</v>
      </c>
      <c r="BX85" s="41">
        <f>COS(RADIANS(BP85))*COS(RADIANS(BR85-Insolation!$L$6))*SIN(RADIANS(0))+(SIN(RADIANS(BP85))*COS(RADIANS(0)))</f>
        <v>0.27046884805919308</v>
      </c>
      <c r="BY85" s="41">
        <f>COS(RADIANS(BP85))*COS(RADIANS(BR85-Insolation!$L$6))*SIN(RADIANS(Insolation!$L$7))+SIN(RADIANS(BP85))*COS(RADIANS(Insolation!$L$7))</f>
        <v>0.41892481768894757</v>
      </c>
      <c r="BZ85" s="40">
        <f t="shared" si="188"/>
        <v>169.30969285224896</v>
      </c>
      <c r="CA85" s="40">
        <f t="shared" si="189"/>
        <v>57.101516159050014</v>
      </c>
      <c r="CB85" s="40">
        <f t="shared" si="190"/>
        <v>262.24104077071843</v>
      </c>
      <c r="CC85" s="40">
        <f>$BN$91*BW85*((1+COS(RADIANS(Insolation!$L$7)))/2)</f>
        <v>52.107081010656245</v>
      </c>
      <c r="CD85" s="40">
        <f t="shared" si="191"/>
        <v>617.22074251338563</v>
      </c>
      <c r="CE85" s="40">
        <f t="shared" si="192"/>
        <v>40.748348956205689</v>
      </c>
      <c r="CF85" s="40">
        <f t="shared" si="193"/>
        <v>625.98592801783559</v>
      </c>
      <c r="CG85" s="40">
        <f t="shared" si="194"/>
        <v>36.272848728510837</v>
      </c>
      <c r="CI85" s="41">
        <f>1370*(1+0.034*COS(RADIANS(360*CI81)/365))</f>
        <v>1402.7237297467991</v>
      </c>
      <c r="CJ85" s="48">
        <v>8</v>
      </c>
      <c r="CK85" s="40">
        <f t="shared" si="195"/>
        <v>8.6844912848956639</v>
      </c>
      <c r="CL85" s="181">
        <f t="shared" si="137"/>
        <v>60</v>
      </c>
      <c r="CM85" s="40">
        <f t="shared" si="196"/>
        <v>55.853147060118161</v>
      </c>
      <c r="CN85" s="40">
        <f t="shared" si="197"/>
        <v>55.853147060118161</v>
      </c>
      <c r="CO85" s="40">
        <f t="shared" si="198"/>
        <v>124.14685293988184</v>
      </c>
      <c r="CP85" s="40">
        <f t="shared" si="199"/>
        <v>-235.85314706011815</v>
      </c>
      <c r="CQ85" s="40">
        <f t="shared" si="200"/>
        <v>6.6228125643767077</v>
      </c>
      <c r="CR85" s="40">
        <f t="shared" si="201"/>
        <v>438.5688273491221</v>
      </c>
      <c r="CS85" s="41">
        <f>COS(RADIANS(CK85))*COS(RADIANS(CM85-Insolation!$L$6))*SIN(RADIANS(0))+(SIN(RADIANS(CK85))*COS(RADIANS(0)))</f>
        <v>0.15099325102130728</v>
      </c>
      <c r="CT85" s="41">
        <f>COS(RADIANS(CK85))*COS(RADIANS(CM85-Insolation!$L$6))*SIN(RADIANS(Insolation!$L$7))+SIN(RADIANS(CK85))*COS(RADIANS(Insolation!$L$7))</f>
        <v>0.38450873113924533</v>
      </c>
      <c r="CU85" s="40">
        <f t="shared" si="202"/>
        <v>66.220933038046368</v>
      </c>
      <c r="CV85" s="40">
        <f t="shared" si="203"/>
        <v>31.352667044925887</v>
      </c>
      <c r="CW85" s="40">
        <f t="shared" si="204"/>
        <v>168.63354332123768</v>
      </c>
      <c r="CX85" s="40">
        <f>$CI$91*CR85*((1+COS(RADIANS(Insolation!$L$7)))/2)</f>
        <v>28.610377998713808</v>
      </c>
      <c r="CY85" s="40">
        <f t="shared" si="205"/>
        <v>414.30522496684881</v>
      </c>
      <c r="CZ85" s="40">
        <f t="shared" si="206"/>
        <v>22.995384356963783</v>
      </c>
      <c r="DA85" s="40">
        <f t="shared" si="207"/>
        <v>438.5688273491221</v>
      </c>
      <c r="DB85" s="40">
        <f t="shared" si="208"/>
        <v>18.043354085113929</v>
      </c>
      <c r="DD85" s="41">
        <f>1370*(1+0.034*COS(RADIANS(360*DD81)/365))</f>
        <v>1414.8243568278144</v>
      </c>
      <c r="DE85" s="48">
        <v>8</v>
      </c>
      <c r="DF85" s="40">
        <f t="shared" si="209"/>
        <v>5.5709093284908393</v>
      </c>
      <c r="DG85" s="181">
        <f t="shared" si="138"/>
        <v>60</v>
      </c>
      <c r="DH85" s="40">
        <f t="shared" si="210"/>
        <v>53.030982238242558</v>
      </c>
      <c r="DI85" s="40">
        <f t="shared" si="211"/>
        <v>53.030982238242558</v>
      </c>
      <c r="DJ85" s="40">
        <f t="shared" si="212"/>
        <v>126.96901776175744</v>
      </c>
      <c r="DK85" s="40">
        <f t="shared" si="213"/>
        <v>-233.03098223824256</v>
      </c>
      <c r="DL85" s="40">
        <f t="shared" si="214"/>
        <v>10.301039389520557</v>
      </c>
      <c r="DM85" s="40">
        <f t="shared" si="215"/>
        <v>284.88629869002574</v>
      </c>
      <c r="DN85" s="41">
        <f>COS(RADIANS(DF85))*COS(RADIANS(DH85-Insolation!$L$6))*SIN(RADIANS(0))+(SIN(RADIANS(DF85))*COS(RADIANS(0)))</f>
        <v>9.7077582386231723E-2</v>
      </c>
      <c r="DO85" s="41">
        <f>COS(RADIANS(DF85))*COS(RADIANS(DH85-Insolation!$L$6))*SIN(RADIANS(Insolation!$L$7))+SIN(RADIANS(DF85))*COS(RADIANS(Insolation!$L$7))</f>
        <v>0.36598782879943759</v>
      </c>
      <c r="DP85" s="40">
        <f t="shared" si="216"/>
        <v>27.656073131789594</v>
      </c>
      <c r="DQ85" s="40">
        <f t="shared" si="217"/>
        <v>16.687447070050794</v>
      </c>
      <c r="DR85" s="40">
        <f t="shared" si="218"/>
        <v>104.26491791227058</v>
      </c>
      <c r="DS85" s="40">
        <f>$DD$91*DM85*((1+COS(RADIANS(Insolation!$L$7)))/2)</f>
        <v>15.227864596768024</v>
      </c>
      <c r="DT85" s="40">
        <f t="shared" si="219"/>
        <v>261.58347325913752</v>
      </c>
      <c r="DU85" s="40">
        <f t="shared" si="220"/>
        <v>12.376879476773189</v>
      </c>
      <c r="DV85" s="40">
        <f t="shared" si="221"/>
        <v>284.88629869002574</v>
      </c>
      <c r="DW85" s="40">
        <f t="shared" si="222"/>
        <v>9.1537120439047683</v>
      </c>
    </row>
    <row r="86" spans="3:127" x14ac:dyDescent="0.15">
      <c r="C86" s="208" t="s">
        <v>181</v>
      </c>
      <c r="D86" s="48">
        <v>8.5</v>
      </c>
      <c r="E86" s="40">
        <f t="shared" si="139"/>
        <v>42.036278436797787</v>
      </c>
      <c r="F86" s="181">
        <f t="shared" si="133"/>
        <v>52.5</v>
      </c>
      <c r="G86" s="40">
        <f t="shared" si="140"/>
        <v>83.578977999360063</v>
      </c>
      <c r="H86" s="40">
        <f t="shared" si="141"/>
        <v>83.578977999360063</v>
      </c>
      <c r="I86" s="40">
        <f t="shared" si="142"/>
        <v>96.421022000639937</v>
      </c>
      <c r="J86" s="40">
        <f t="shared" si="143"/>
        <v>-263.57897799936006</v>
      </c>
      <c r="K86" s="40">
        <f t="shared" si="144"/>
        <v>1.4934266483875267</v>
      </c>
      <c r="L86" s="40">
        <f t="shared" si="145"/>
        <v>795.45460781738177</v>
      </c>
      <c r="M86" s="41">
        <f>COS(RADIANS(E86))*COS(RADIANS(G86-Insolation!$L$6))*SIN(RADIANS(0))+(SIN(RADIANS(E86))*COS(RADIANS(0)))</f>
        <v>0.66960101527565064</v>
      </c>
      <c r="N86" s="41">
        <f>COS(RADIANS(E86))*COS(RADIANS(G86-Insolation!$L$6))*SIN(RADIANS(Insolation!$L$7))+SIN(RADIANS(E86))*COS(RADIANS(Insolation!$L$7))</f>
        <v>0.55252275578207444</v>
      </c>
      <c r="O86" s="40">
        <f t="shared" si="146"/>
        <v>532.63721300021336</v>
      </c>
      <c r="P86" s="40">
        <f t="shared" si="147"/>
        <v>107.28006437555391</v>
      </c>
      <c r="Q86" s="40">
        <f t="shared" si="148"/>
        <v>439.50677201080902</v>
      </c>
      <c r="R86" s="40">
        <f>$C$91*L86*((1+COS(RADIANS(Insolation!$L$7)))/2)</f>
        <v>97.896717657635051</v>
      </c>
      <c r="S86" s="40">
        <f t="shared" si="149"/>
        <v>740.01669775728476</v>
      </c>
      <c r="T86" s="40">
        <f t="shared" si="150"/>
        <v>72.441777110768143</v>
      </c>
      <c r="U86" s="40">
        <f t="shared" si="151"/>
        <v>795.45460781738177</v>
      </c>
      <c r="V86" s="40">
        <f t="shared" si="152"/>
        <v>89.557452200130982</v>
      </c>
      <c r="X86" s="208" t="s">
        <v>181</v>
      </c>
      <c r="Y86" s="48">
        <v>8.5</v>
      </c>
      <c r="Z86" s="40">
        <f t="shared" si="153"/>
        <v>37.3048898671667</v>
      </c>
      <c r="AA86" s="181">
        <f t="shared" si="134"/>
        <v>52.5</v>
      </c>
      <c r="AB86" s="40">
        <f t="shared" si="154"/>
        <v>75.621668639780978</v>
      </c>
      <c r="AC86" s="40">
        <f t="shared" si="155"/>
        <v>75.621668639780978</v>
      </c>
      <c r="AD86" s="40">
        <f t="shared" si="156"/>
        <v>104.37833136021902</v>
      </c>
      <c r="AE86" s="40">
        <f t="shared" si="157"/>
        <v>-255.62166863978098</v>
      </c>
      <c r="AF86" s="40">
        <f t="shared" si="158"/>
        <v>1.6500117582584715</v>
      </c>
      <c r="AG86" s="40">
        <f t="shared" si="159"/>
        <v>790.9238737412561</v>
      </c>
      <c r="AH86" s="41">
        <f>COS(RADIANS(Z86))*COS(RADIANS(AB86-Insolation!$L$6))*SIN(RADIANS(0))+(SIN(RADIANS(Z86))*COS(RADIANS(0)))</f>
        <v>0.60605628717183468</v>
      </c>
      <c r="AI86" s="41">
        <f>COS(RADIANS(Z86))*COS(RADIANS(AB86-Insolation!$L$6))*SIN(RADIANS(Insolation!$L$7))+SIN(RADIANS(Z86))*COS(RADIANS(Insolation!$L$7))</f>
        <v>0.56231570851450652</v>
      </c>
      <c r="AJ86" s="40">
        <f t="shared" si="160"/>
        <v>479.34438635519064</v>
      </c>
      <c r="AK86" s="40">
        <f t="shared" si="161"/>
        <v>100.97054555368898</v>
      </c>
      <c r="AL86" s="40">
        <f t="shared" si="162"/>
        <v>444.74891844385252</v>
      </c>
      <c r="AM86" s="40">
        <f>$X$91*AG86*((1+COS(RADIANS(Insolation!$L$7)))/2)</f>
        <v>92.139066538995365</v>
      </c>
      <c r="AN86" s="40">
        <f t="shared" si="163"/>
        <v>768.14737440097213</v>
      </c>
      <c r="AO86" s="40">
        <f t="shared" si="164"/>
        <v>70.633459193372317</v>
      </c>
      <c r="AP86" s="40">
        <f t="shared" si="165"/>
        <v>790.9238737412561</v>
      </c>
      <c r="AQ86" s="40">
        <f t="shared" si="166"/>
        <v>81.082189752836143</v>
      </c>
      <c r="AS86" s="208" t="s">
        <v>181</v>
      </c>
      <c r="AT86" s="48">
        <v>8.5</v>
      </c>
      <c r="AU86" s="40">
        <f t="shared" si="167"/>
        <v>29.396714781444615</v>
      </c>
      <c r="AV86" s="181">
        <f t="shared" si="135"/>
        <v>52.5</v>
      </c>
      <c r="AW86" s="40">
        <f t="shared" si="168"/>
        <v>65.494152682074215</v>
      </c>
      <c r="AX86" s="40">
        <f t="shared" si="169"/>
        <v>65.494152682074215</v>
      </c>
      <c r="AY86" s="40">
        <f t="shared" si="170"/>
        <v>114.50584731792578</v>
      </c>
      <c r="AZ86" s="40">
        <f t="shared" si="171"/>
        <v>-245.49415268207423</v>
      </c>
      <c r="BA86" s="40">
        <f t="shared" si="172"/>
        <v>2.037266496700282</v>
      </c>
      <c r="BB86" s="40">
        <f t="shared" si="173"/>
        <v>775.62878891235687</v>
      </c>
      <c r="BC86" s="41">
        <f>COS(RADIANS(AU86))*COS(RADIANS(AW86-Insolation!$L$6))*SIN(RADIANS(0))+(SIN(RADIANS(AU86))*COS(RADIANS(0)))</f>
        <v>0.49085379925487371</v>
      </c>
      <c r="BD86" s="41">
        <f>COS(RADIANS(AU86))*COS(RADIANS(AW86-Insolation!$L$6))*SIN(RADIANS(Insolation!$L$7))+SIN(RADIANS(AU86))*COS(RADIANS(Insolation!$L$7))</f>
        <v>0.55786661972007567</v>
      </c>
      <c r="BE86" s="40">
        <f t="shared" si="174"/>
        <v>380.72033784908683</v>
      </c>
      <c r="BF86" s="40">
        <f t="shared" si="175"/>
        <v>86.385065609482595</v>
      </c>
      <c r="BG86" s="40">
        <f t="shared" si="176"/>
        <v>432.69741062811266</v>
      </c>
      <c r="BH86" s="40">
        <f>$AS$91*BB86*((1+COS(RADIANS(Insolation!$L$7)))/2)</f>
        <v>78.82931863466392</v>
      </c>
      <c r="BI86" s="40">
        <f t="shared" si="177"/>
        <v>775.04827650440075</v>
      </c>
      <c r="BJ86" s="40">
        <f t="shared" si="178"/>
        <v>62.922223701086729</v>
      </c>
      <c r="BK86" s="40">
        <f t="shared" si="179"/>
        <v>775.62878891235687</v>
      </c>
      <c r="BL86" s="40">
        <f t="shared" si="180"/>
        <v>64.393751631389335</v>
      </c>
      <c r="BN86" s="208" t="s">
        <v>181</v>
      </c>
      <c r="BO86" s="48">
        <v>8.5</v>
      </c>
      <c r="BP86" s="40">
        <f t="shared" si="181"/>
        <v>20.647547573742681</v>
      </c>
      <c r="BQ86" s="181">
        <f t="shared" si="136"/>
        <v>52.5</v>
      </c>
      <c r="BR86" s="40">
        <f t="shared" si="182"/>
        <v>56.713775505256251</v>
      </c>
      <c r="BS86" s="40">
        <f t="shared" si="183"/>
        <v>56.713775505256251</v>
      </c>
      <c r="BT86" s="40">
        <f t="shared" si="184"/>
        <v>123.28622449474375</v>
      </c>
      <c r="BU86" s="40">
        <f t="shared" si="185"/>
        <v>-236.71377550525625</v>
      </c>
      <c r="BV86" s="40">
        <f t="shared" si="186"/>
        <v>2.8359274690222369</v>
      </c>
      <c r="BW86" s="40">
        <f t="shared" si="187"/>
        <v>725.13206163421398</v>
      </c>
      <c r="BX86" s="41">
        <f>COS(RADIANS(BP86))*COS(RADIANS(BR86-Insolation!$L$6))*SIN(RADIANS(0))+(SIN(RADIANS(BP86))*COS(RADIANS(0)))</f>
        <v>0.35261832713400715</v>
      </c>
      <c r="BY86" s="41">
        <f>COS(RADIANS(BP86))*COS(RADIANS(BR86-Insolation!$L$6))*SIN(RADIANS(Insolation!$L$7))+SIN(RADIANS(BP86))*COS(RADIANS(Insolation!$L$7))</f>
        <v>0.52993106590386763</v>
      </c>
      <c r="BZ86" s="40">
        <f t="shared" si="188"/>
        <v>255.6948545246903</v>
      </c>
      <c r="CA86" s="40">
        <f t="shared" si="189"/>
        <v>66.145480723444592</v>
      </c>
      <c r="CB86" s="40">
        <f t="shared" si="190"/>
        <v>384.27000634288805</v>
      </c>
      <c r="CC86" s="40">
        <f>$BN$91*BW86*((1+COS(RADIANS(Insolation!$L$7)))/2)</f>
        <v>60.360007130897685</v>
      </c>
      <c r="CD86" s="40">
        <f t="shared" si="191"/>
        <v>714.97861129137004</v>
      </c>
      <c r="CE86" s="40">
        <f t="shared" si="192"/>
        <v>49.732402870767984</v>
      </c>
      <c r="CF86" s="40">
        <f t="shared" si="193"/>
        <v>725.13206163421398</v>
      </c>
      <c r="CG86" s="40">
        <f t="shared" si="194"/>
        <v>44.734794741810177</v>
      </c>
      <c r="CI86" s="208" t="s">
        <v>181</v>
      </c>
      <c r="CJ86" s="48">
        <v>8.5</v>
      </c>
      <c r="CK86" s="40">
        <f t="shared" si="195"/>
        <v>13.279405325056469</v>
      </c>
      <c r="CL86" s="181">
        <f t="shared" si="137"/>
        <v>52.5</v>
      </c>
      <c r="CM86" s="40">
        <f t="shared" si="196"/>
        <v>50.358512166594522</v>
      </c>
      <c r="CN86" s="40">
        <f t="shared" si="197"/>
        <v>50.358512166594522</v>
      </c>
      <c r="CO86" s="40">
        <f t="shared" si="198"/>
        <v>129.64148783340548</v>
      </c>
      <c r="CP86" s="40">
        <f t="shared" si="199"/>
        <v>-230.35851216659452</v>
      </c>
      <c r="CQ86" s="40">
        <f t="shared" si="200"/>
        <v>4.3535061221949105</v>
      </c>
      <c r="CR86" s="40">
        <f t="shared" si="201"/>
        <v>621.22343208109294</v>
      </c>
      <c r="CS86" s="41">
        <f>COS(RADIANS(CK86))*COS(RADIANS(CM86-Insolation!$L$6))*SIN(RADIANS(0))+(SIN(RADIANS(CK86))*COS(RADIANS(0)))</f>
        <v>0.2296999181652303</v>
      </c>
      <c r="CT86" s="41">
        <f>COS(RADIANS(CK86))*COS(RADIANS(CM86-Insolation!$L$6))*SIN(RADIANS(Insolation!$L$7))+SIN(RADIANS(CK86))*COS(RADIANS(Insolation!$L$7))</f>
        <v>0.49086280577909358</v>
      </c>
      <c r="CU86" s="40">
        <f t="shared" si="202"/>
        <v>142.69497151135056</v>
      </c>
      <c r="CV86" s="40">
        <f t="shared" si="203"/>
        <v>44.410387177472579</v>
      </c>
      <c r="CW86" s="40">
        <f t="shared" si="204"/>
        <v>304.93547688704348</v>
      </c>
      <c r="CX86" s="40">
        <f>$CI$91*CR86*((1+COS(RADIANS(Insolation!$L$7)))/2)</f>
        <v>40.525992968829641</v>
      </c>
      <c r="CY86" s="40">
        <f t="shared" si="205"/>
        <v>586.85455448057019</v>
      </c>
      <c r="CZ86" s="40">
        <f t="shared" si="206"/>
        <v>34.112237813995357</v>
      </c>
      <c r="DA86" s="40">
        <f t="shared" si="207"/>
        <v>621.22343208109294</v>
      </c>
      <c r="DB86" s="40">
        <f t="shared" si="208"/>
        <v>27.305724738912115</v>
      </c>
      <c r="DD86" s="208" t="s">
        <v>181</v>
      </c>
      <c r="DE86" s="48">
        <v>8.5</v>
      </c>
      <c r="DF86" s="40">
        <f t="shared" si="209"/>
        <v>9.9959561059515902</v>
      </c>
      <c r="DG86" s="181">
        <f t="shared" si="138"/>
        <v>52.5</v>
      </c>
      <c r="DH86" s="40">
        <f t="shared" si="210"/>
        <v>47.704838637674108</v>
      </c>
      <c r="DI86" s="40">
        <f t="shared" si="211"/>
        <v>47.704838637674108</v>
      </c>
      <c r="DJ86" s="40">
        <f t="shared" si="212"/>
        <v>132.2951613623259</v>
      </c>
      <c r="DK86" s="40">
        <f t="shared" si="213"/>
        <v>-227.7048386376741</v>
      </c>
      <c r="DL86" s="40">
        <f t="shared" si="214"/>
        <v>5.7610765118540304</v>
      </c>
      <c r="DM86" s="40">
        <f t="shared" si="215"/>
        <v>543.13059465384276</v>
      </c>
      <c r="DN86" s="41">
        <f>COS(RADIANS(DF86))*COS(RADIANS(DH86-Insolation!$L$6))*SIN(RADIANS(0))+(SIN(RADIANS(DF86))*COS(RADIANS(0)))</f>
        <v>0.17357867022637058</v>
      </c>
      <c r="DO86" s="41">
        <f>COS(RADIANS(DF86))*COS(RADIANS(DH86-Insolation!$L$6))*SIN(RADIANS(Insolation!$L$7))+SIN(RADIANS(DF86))*COS(RADIANS(Insolation!$L$7))</f>
        <v>0.46936156702801551</v>
      </c>
      <c r="DP86" s="40">
        <f t="shared" si="216"/>
        <v>94.275886379271924</v>
      </c>
      <c r="DQ86" s="40">
        <f t="shared" si="217"/>
        <v>31.814317122610493</v>
      </c>
      <c r="DR86" s="40">
        <f t="shared" si="218"/>
        <v>254.92462700758554</v>
      </c>
      <c r="DS86" s="40">
        <f>$DD$91*DM86*((1+COS(RADIANS(Insolation!$L$7)))/2)</f>
        <v>29.031649439729215</v>
      </c>
      <c r="DT86" s="40">
        <f t="shared" si="219"/>
        <v>498.70417789884095</v>
      </c>
      <c r="DU86" s="40">
        <f t="shared" si="220"/>
        <v>24.647784507668934</v>
      </c>
      <c r="DV86" s="40">
        <f t="shared" si="221"/>
        <v>543.13059465384276</v>
      </c>
      <c r="DW86" s="40">
        <f t="shared" si="222"/>
        <v>18.668301991456637</v>
      </c>
    </row>
    <row r="87" spans="3:127" x14ac:dyDescent="0.15">
      <c r="C87" s="207">
        <f>1160+75*SIN(RADIANS((360/365)*(C81-275)))</f>
        <v>1086.6613743870757</v>
      </c>
      <c r="D87" s="48">
        <v>9</v>
      </c>
      <c r="E87" s="40">
        <f t="shared" si="139"/>
        <v>47.704797301167225</v>
      </c>
      <c r="F87" s="181">
        <f t="shared" si="133"/>
        <v>45</v>
      </c>
      <c r="G87" s="40">
        <f t="shared" si="140"/>
        <v>77.829661373365354</v>
      </c>
      <c r="H87" s="40">
        <f t="shared" si="141"/>
        <v>77.829661373365354</v>
      </c>
      <c r="I87" s="40">
        <f t="shared" si="142"/>
        <v>102.17033862663465</v>
      </c>
      <c r="J87" s="40">
        <f t="shared" si="143"/>
        <v>-257.82966137336535</v>
      </c>
      <c r="K87" s="40">
        <f t="shared" si="144"/>
        <v>1.3519223689239963</v>
      </c>
      <c r="L87" s="40">
        <f t="shared" si="145"/>
        <v>819.31746350244237</v>
      </c>
      <c r="M87" s="41">
        <f>COS(RADIANS(E87))*COS(RADIANS(G87-Insolation!$L$6))*SIN(RADIANS(0))+(SIN(RADIANS(E87))*COS(RADIANS(0)))</f>
        <v>0.73968744284918253</v>
      </c>
      <c r="N87" s="41">
        <f>COS(RADIANS(E87))*COS(RADIANS(G87-Insolation!$L$6))*SIN(RADIANS(Insolation!$L$7))+SIN(RADIANS(E87))*COS(RADIANS(Insolation!$L$7))</f>
        <v>0.64843423310112946</v>
      </c>
      <c r="O87" s="40">
        <f t="shared" si="146"/>
        <v>606.03883945979999</v>
      </c>
      <c r="P87" s="40">
        <f t="shared" si="147"/>
        <v>110.49836076722629</v>
      </c>
      <c r="Q87" s="40">
        <f t="shared" si="148"/>
        <v>531.27349111256888</v>
      </c>
      <c r="R87" s="40">
        <f>$C$91*L87*((1+COS(RADIANS(Insolation!$L$7)))/2)</f>
        <v>100.83352287888481</v>
      </c>
      <c r="S87" s="40">
        <f t="shared" si="149"/>
        <v>762.21647067904928</v>
      </c>
      <c r="T87" s="40">
        <f t="shared" si="150"/>
        <v>79.63116768648986</v>
      </c>
      <c r="U87" s="40">
        <f t="shared" si="151"/>
        <v>819.31746350244237</v>
      </c>
      <c r="V87" s="40">
        <f t="shared" si="152"/>
        <v>96.116305341081173</v>
      </c>
      <c r="X87" s="207">
        <f>1160+75*SIN(RADIANS((360/365)*(X81-275)))</f>
        <v>1104.843723277701</v>
      </c>
      <c r="Y87" s="48">
        <v>9</v>
      </c>
      <c r="Z87" s="40">
        <f t="shared" si="153"/>
        <v>42.783009616154835</v>
      </c>
      <c r="AA87" s="181">
        <f t="shared" si="134"/>
        <v>45</v>
      </c>
      <c r="AB87" s="40">
        <f t="shared" si="154"/>
        <v>69.342517918461184</v>
      </c>
      <c r="AC87" s="40">
        <f t="shared" si="155"/>
        <v>69.342517918461184</v>
      </c>
      <c r="AD87" s="40">
        <f t="shared" si="156"/>
        <v>110.65748208153882</v>
      </c>
      <c r="AE87" s="40">
        <f t="shared" si="157"/>
        <v>-249.34251791846117</v>
      </c>
      <c r="AF87" s="40">
        <f t="shared" si="158"/>
        <v>1.472269013318128</v>
      </c>
      <c r="AG87" s="40">
        <f t="shared" si="159"/>
        <v>819.92152973813529</v>
      </c>
      <c r="AH87" s="41">
        <f>COS(RADIANS(Z87))*COS(RADIANS(AB87-Insolation!$L$6))*SIN(RADIANS(0))+(SIN(RADIANS(Z87))*COS(RADIANS(0)))</f>
        <v>0.67922369550266415</v>
      </c>
      <c r="AI87" s="41">
        <f>COS(RADIANS(Z87))*COS(RADIANS(AB87-Insolation!$L$6))*SIN(RADIANS(Insolation!$L$7))+SIN(RADIANS(Z87))*COS(RADIANS(Insolation!$L$7))</f>
        <v>0.66244342892447838</v>
      </c>
      <c r="AJ87" s="40">
        <f t="shared" si="160"/>
        <v>556.91013145093382</v>
      </c>
      <c r="AK87" s="40">
        <f t="shared" si="161"/>
        <v>104.67243045436012</v>
      </c>
      <c r="AL87" s="40">
        <f t="shared" si="162"/>
        <v>543.15162960873397</v>
      </c>
      <c r="AM87" s="40">
        <f>$X$91*AG87*((1+COS(RADIANS(Insolation!$L$7)))/2)</f>
        <v>95.517162768071145</v>
      </c>
      <c r="AN87" s="40">
        <f t="shared" si="163"/>
        <v>796.30997519897539</v>
      </c>
      <c r="AO87" s="40">
        <f t="shared" si="164"/>
        <v>77.708872818684441</v>
      </c>
      <c r="AP87" s="40">
        <f t="shared" si="165"/>
        <v>819.92152973813529</v>
      </c>
      <c r="AQ87" s="40">
        <f t="shared" si="166"/>
        <v>87.884212742408096</v>
      </c>
      <c r="AS87" s="207">
        <f>1160+75*SIN(RADIANS((360/365)*(AS81-275)))</f>
        <v>1138.3638175339543</v>
      </c>
      <c r="AT87" s="48">
        <v>9</v>
      </c>
      <c r="AU87" s="40">
        <f t="shared" si="167"/>
        <v>34.481097961395342</v>
      </c>
      <c r="AV87" s="181">
        <f t="shared" si="135"/>
        <v>45</v>
      </c>
      <c r="AW87" s="40">
        <f t="shared" si="168"/>
        <v>59.000459113343062</v>
      </c>
      <c r="AX87" s="40">
        <f t="shared" si="169"/>
        <v>59.000459113343062</v>
      </c>
      <c r="AY87" s="40">
        <f t="shared" si="170"/>
        <v>120.99954088665694</v>
      </c>
      <c r="AZ87" s="40">
        <f t="shared" si="171"/>
        <v>-239.00045911334306</v>
      </c>
      <c r="BA87" s="40">
        <f t="shared" si="172"/>
        <v>1.7663652539929446</v>
      </c>
      <c r="BB87" s="40">
        <f t="shared" si="173"/>
        <v>816.22673956979497</v>
      </c>
      <c r="BC87" s="41">
        <f>COS(RADIANS(AU87))*COS(RADIANS(AW87-Insolation!$L$6))*SIN(RADIANS(0))+(SIN(RADIANS(AU87))*COS(RADIANS(0)))</f>
        <v>0.56613432456252011</v>
      </c>
      <c r="BD87" s="41">
        <f>COS(RADIANS(AU87))*COS(RADIANS(AW87-Insolation!$L$6))*SIN(RADIANS(Insolation!$L$7))+SIN(RADIANS(AU87))*COS(RADIANS(Insolation!$L$7))</f>
        <v>0.66088608647825231</v>
      </c>
      <c r="BE87" s="40">
        <f t="shared" si="174"/>
        <v>462.09397389621387</v>
      </c>
      <c r="BF87" s="40">
        <f t="shared" si="175"/>
        <v>90.906631442632204</v>
      </c>
      <c r="BG87" s="40">
        <f t="shared" si="176"/>
        <v>539.43289559318544</v>
      </c>
      <c r="BH87" s="40">
        <f>$AS$91*BB87*((1+COS(RADIANS(Insolation!$L$7)))/2)</f>
        <v>82.95540167082514</v>
      </c>
      <c r="BI87" s="40">
        <f t="shared" si="177"/>
        <v>815.61584198992261</v>
      </c>
      <c r="BJ87" s="40">
        <f t="shared" si="178"/>
        <v>69.717398666041433</v>
      </c>
      <c r="BK87" s="40">
        <f t="shared" si="179"/>
        <v>816.22673956979497</v>
      </c>
      <c r="BL87" s="40">
        <f t="shared" si="180"/>
        <v>71.185997916330365</v>
      </c>
      <c r="BN87" s="207">
        <f>1160+75*SIN(RADIANS((360/365)*(BN81-275)))</f>
        <v>1176.6441134753125</v>
      </c>
      <c r="BO87" s="48">
        <v>9</v>
      </c>
      <c r="BP87" s="40">
        <f t="shared" si="181"/>
        <v>25.271009071642474</v>
      </c>
      <c r="BQ87" s="181">
        <f t="shared" si="136"/>
        <v>45</v>
      </c>
      <c r="BR87" s="40">
        <f t="shared" si="182"/>
        <v>50.44292234037448</v>
      </c>
      <c r="BS87" s="40">
        <f t="shared" si="183"/>
        <v>50.44292234037448</v>
      </c>
      <c r="BT87" s="40">
        <f t="shared" si="184"/>
        <v>129.55707765962552</v>
      </c>
      <c r="BU87" s="40">
        <f t="shared" si="185"/>
        <v>-230.44292234037448</v>
      </c>
      <c r="BV87" s="40">
        <f t="shared" si="186"/>
        <v>2.3424670168447927</v>
      </c>
      <c r="BW87" s="40">
        <f t="shared" si="187"/>
        <v>788.85549598787031</v>
      </c>
      <c r="BX87" s="41">
        <f>COS(RADIANS(BP87))*COS(RADIANS(BR87-Insolation!$L$6))*SIN(RADIANS(0))+(SIN(RADIANS(BP87))*COS(RADIANS(0)))</f>
        <v>0.42690035454456865</v>
      </c>
      <c r="BY87" s="41">
        <f>COS(RADIANS(BP87))*COS(RADIANS(BR87-Insolation!$L$6))*SIN(RADIANS(Insolation!$L$7))+SIN(RADIANS(BP87))*COS(RADIANS(Insolation!$L$7))</f>
        <v>0.63158411391700386</v>
      </c>
      <c r="BZ87" s="40">
        <f t="shared" si="188"/>
        <v>336.76269092165342</v>
      </c>
      <c r="CA87" s="40">
        <f t="shared" si="189"/>
        <v>71.958238732202574</v>
      </c>
      <c r="CB87" s="40">
        <f t="shared" si="190"/>
        <v>498.22859944205766</v>
      </c>
      <c r="CC87" s="40">
        <f>$BN$91*BW87*((1+COS(RADIANS(Insolation!$L$7)))/2)</f>
        <v>65.664347064955436</v>
      </c>
      <c r="CD87" s="40">
        <f t="shared" si="191"/>
        <v>777.80977682860259</v>
      </c>
      <c r="CE87" s="40">
        <f t="shared" si="192"/>
        <v>56.549180019283618</v>
      </c>
      <c r="CF87" s="40">
        <f t="shared" si="193"/>
        <v>788.85549598787031</v>
      </c>
      <c r="CG87" s="40">
        <f t="shared" si="194"/>
        <v>51.338618179691281</v>
      </c>
      <c r="CI87" s="207">
        <f>1160+75*SIN(RADIANS((360/365)*(CI81-275)))</f>
        <v>1211.5289575417751</v>
      </c>
      <c r="CJ87" s="48">
        <v>9</v>
      </c>
      <c r="CK87" s="40">
        <f t="shared" si="195"/>
        <v>17.509795828331949</v>
      </c>
      <c r="CL87" s="181">
        <f t="shared" si="137"/>
        <v>45</v>
      </c>
      <c r="CM87" s="40">
        <f t="shared" si="196"/>
        <v>44.462397537009132</v>
      </c>
      <c r="CN87" s="40">
        <f t="shared" si="197"/>
        <v>44.462397537009132</v>
      </c>
      <c r="CO87" s="40">
        <f t="shared" si="198"/>
        <v>135.53760246299086</v>
      </c>
      <c r="CP87" s="40">
        <f t="shared" si="199"/>
        <v>-224.46239753700914</v>
      </c>
      <c r="CQ87" s="40">
        <f t="shared" si="200"/>
        <v>3.3237073055412667</v>
      </c>
      <c r="CR87" s="40">
        <f t="shared" si="201"/>
        <v>727.55550075132976</v>
      </c>
      <c r="CS87" s="41">
        <f>COS(RADIANS(CK87))*COS(RADIANS(CM87-Insolation!$L$6))*SIN(RADIANS(0))+(SIN(RADIANS(CK87))*COS(RADIANS(0)))</f>
        <v>0.30086885157811744</v>
      </c>
      <c r="CT87" s="41">
        <f>COS(RADIANS(CK87))*COS(RADIANS(CM87-Insolation!$L$6))*SIN(RADIANS(Insolation!$L$7))+SIN(RADIANS(CK87))*COS(RADIANS(Insolation!$L$7))</f>
        <v>0.58825566455606482</v>
      </c>
      <c r="CU87" s="40">
        <f t="shared" si="202"/>
        <v>218.89878797039475</v>
      </c>
      <c r="CV87" s="40">
        <f t="shared" si="203"/>
        <v>52.011916828740453</v>
      </c>
      <c r="CW87" s="40">
        <f t="shared" si="204"/>
        <v>427.98864459589402</v>
      </c>
      <c r="CX87" s="40">
        <f>$CI$91*CR87*((1+COS(RADIANS(Insolation!$L$7)))/2)</f>
        <v>47.462648034874569</v>
      </c>
      <c r="CY87" s="40">
        <f t="shared" si="205"/>
        <v>687.30385430402475</v>
      </c>
      <c r="CZ87" s="40">
        <f t="shared" si="206"/>
        <v>41.532343555085902</v>
      </c>
      <c r="DA87" s="40">
        <f t="shared" si="207"/>
        <v>727.55550075132976</v>
      </c>
      <c r="DB87" s="40">
        <f t="shared" si="208"/>
        <v>33.830341256690069</v>
      </c>
      <c r="DD87" s="207">
        <f>1160+75*SIN(RADIANS((360/365)*(DD81-275)))</f>
        <v>1231.7176119943929</v>
      </c>
      <c r="DE87" s="48">
        <v>9</v>
      </c>
      <c r="DF87" s="40">
        <f t="shared" si="209"/>
        <v>14.049096722314172</v>
      </c>
      <c r="DG87" s="181">
        <f t="shared" si="138"/>
        <v>45</v>
      </c>
      <c r="DH87" s="40">
        <f t="shared" si="210"/>
        <v>42.012081444248956</v>
      </c>
      <c r="DI87" s="40">
        <f t="shared" si="211"/>
        <v>42.012081444248956</v>
      </c>
      <c r="DJ87" s="40">
        <f t="shared" si="212"/>
        <v>137.98791855575104</v>
      </c>
      <c r="DK87" s="40">
        <f t="shared" si="213"/>
        <v>-222.01208144424896</v>
      </c>
      <c r="DL87" s="40">
        <f t="shared" si="214"/>
        <v>4.1194092744655153</v>
      </c>
      <c r="DM87" s="40">
        <f t="shared" si="215"/>
        <v>685.86310579008841</v>
      </c>
      <c r="DN87" s="41">
        <f>COS(RADIANS(DF87))*COS(RADIANS(DH87-Insolation!$L$6))*SIN(RADIANS(0))+(SIN(RADIANS(DF87))*COS(RADIANS(0)))</f>
        <v>0.24275325255943353</v>
      </c>
      <c r="DO87" s="41">
        <f>COS(RADIANS(DF87))*COS(RADIANS(DH87-Insolation!$L$6))*SIN(RADIANS(Insolation!$L$7))+SIN(RADIANS(DF87))*COS(RADIANS(Insolation!$L$7))</f>
        <v>0.56402520753860985</v>
      </c>
      <c r="DP87" s="40">
        <f t="shared" si="216"/>
        <v>166.49549974105881</v>
      </c>
      <c r="DQ87" s="40">
        <f t="shared" si="217"/>
        <v>40.174990260328251</v>
      </c>
      <c r="DR87" s="40">
        <f t="shared" si="218"/>
        <v>386.84408058633016</v>
      </c>
      <c r="DS87" s="40">
        <f>$DD$91*DM87*((1+COS(RADIANS(Insolation!$L$7)))/2)</f>
        <v>36.661048828656483</v>
      </c>
      <c r="DT87" s="40">
        <f t="shared" si="219"/>
        <v>629.7616074126488</v>
      </c>
      <c r="DU87" s="40">
        <f t="shared" si="220"/>
        <v>32.28378572301289</v>
      </c>
      <c r="DV87" s="40">
        <f t="shared" si="221"/>
        <v>685.86310579008841</v>
      </c>
      <c r="DW87" s="40">
        <f t="shared" si="222"/>
        <v>24.963799908783251</v>
      </c>
    </row>
    <row r="88" spans="3:127" x14ac:dyDescent="0.15">
      <c r="C88" s="208" t="s">
        <v>184</v>
      </c>
      <c r="D88" s="48">
        <v>9.5</v>
      </c>
      <c r="E88" s="40">
        <f t="shared" si="139"/>
        <v>53.240212257515985</v>
      </c>
      <c r="F88" s="181">
        <f t="shared" si="133"/>
        <v>37.5</v>
      </c>
      <c r="G88" s="40">
        <f t="shared" si="140"/>
        <v>71.141174507241061</v>
      </c>
      <c r="H88" s="40">
        <f t="shared" si="141"/>
        <v>71.141174507241061</v>
      </c>
      <c r="I88" s="40">
        <f t="shared" si="142"/>
        <v>108.85882549275894</v>
      </c>
      <c r="J88" s="40">
        <f t="shared" si="143"/>
        <v>-251.14117450724106</v>
      </c>
      <c r="K88" s="40">
        <f t="shared" si="144"/>
        <v>1.2482032267355923</v>
      </c>
      <c r="L88" s="40">
        <f t="shared" si="145"/>
        <v>837.26179891086372</v>
      </c>
      <c r="M88" s="41">
        <f>COS(RADIANS(E88))*COS(RADIANS(G88-Insolation!$L$6))*SIN(RADIANS(0))+(SIN(RADIANS(E88))*COS(RADIANS(0)))</f>
        <v>0.80115159020641658</v>
      </c>
      <c r="N88" s="41">
        <f>COS(RADIANS(E88))*COS(RADIANS(G88-Insolation!$L$6))*SIN(RADIANS(Insolation!$L$7))+SIN(RADIANS(E88))*COS(RADIANS(Insolation!$L$7))</f>
        <v>0.73387972600134899</v>
      </c>
      <c r="O88" s="40">
        <f t="shared" si="146"/>
        <v>670.77362161652343</v>
      </c>
      <c r="P88" s="40">
        <f t="shared" si="147"/>
        <v>112.91844789586095</v>
      </c>
      <c r="Q88" s="40">
        <f t="shared" si="148"/>
        <v>614.44945957610116</v>
      </c>
      <c r="R88" s="40">
        <f>$C$91*L88*((1+COS(RADIANS(Insolation!$L$7)))/2)</f>
        <v>103.04193492373078</v>
      </c>
      <c r="S88" s="40">
        <f t="shared" si="149"/>
        <v>778.91020493099506</v>
      </c>
      <c r="T88" s="40">
        <f t="shared" si="150"/>
        <v>86.14612237896624</v>
      </c>
      <c r="U88" s="40">
        <f t="shared" si="151"/>
        <v>837.26179891086372</v>
      </c>
      <c r="V88" s="40">
        <f t="shared" si="152"/>
        <v>101.69162099563518</v>
      </c>
      <c r="X88" s="208" t="s">
        <v>184</v>
      </c>
      <c r="Y88" s="48">
        <v>9.5</v>
      </c>
      <c r="Z88" s="40">
        <f t="shared" si="153"/>
        <v>48.020979932325908</v>
      </c>
      <c r="AA88" s="181">
        <f t="shared" si="134"/>
        <v>37.5</v>
      </c>
      <c r="AB88" s="40">
        <f t="shared" si="154"/>
        <v>62.121356207322798</v>
      </c>
      <c r="AC88" s="40">
        <f t="shared" si="155"/>
        <v>62.121356207322798</v>
      </c>
      <c r="AD88" s="40">
        <f t="shared" si="156"/>
        <v>117.8786437926772</v>
      </c>
      <c r="AE88" s="40">
        <f t="shared" si="157"/>
        <v>-242.1213562073228</v>
      </c>
      <c r="AF88" s="40">
        <f t="shared" si="158"/>
        <v>1.3451893109425421</v>
      </c>
      <c r="AG88" s="40">
        <f t="shared" si="159"/>
        <v>841.30335118552375</v>
      </c>
      <c r="AH88" s="41">
        <f>COS(RADIANS(Z88))*COS(RADIANS(AB88-Insolation!$L$6))*SIN(RADIANS(0))+(SIN(RADIANS(Z88))*COS(RADIANS(0)))</f>
        <v>0.74338979046698184</v>
      </c>
      <c r="AI88" s="41">
        <f>COS(RADIANS(Z88))*COS(RADIANS(AB88-Insolation!$L$6))*SIN(RADIANS(Insolation!$L$7))+SIN(RADIANS(Z88))*COS(RADIANS(Insolation!$L$7))</f>
        <v>0.75164508301792143</v>
      </c>
      <c r="AJ88" s="40">
        <f t="shared" si="160"/>
        <v>625.41632195697616</v>
      </c>
      <c r="AK88" s="40">
        <f t="shared" si="161"/>
        <v>107.40206632470263</v>
      </c>
      <c r="AL88" s="40">
        <f t="shared" si="162"/>
        <v>632.3615272450985</v>
      </c>
      <c r="AM88" s="40">
        <f>$X$91*AG88*((1+COS(RADIANS(Insolation!$L$7)))/2)</f>
        <v>98.008048597255694</v>
      </c>
      <c r="AN88" s="40">
        <f t="shared" si="163"/>
        <v>817.07605718235345</v>
      </c>
      <c r="AO88" s="40">
        <f t="shared" si="164"/>
        <v>83.914489143825492</v>
      </c>
      <c r="AP88" s="40">
        <f t="shared" si="165"/>
        <v>841.30335118552375</v>
      </c>
      <c r="AQ88" s="40">
        <f t="shared" si="166"/>
        <v>93.621832952772095</v>
      </c>
      <c r="AS88" s="208" t="s">
        <v>184</v>
      </c>
      <c r="AT88" s="48">
        <v>9.5</v>
      </c>
      <c r="AU88" s="40">
        <f t="shared" si="167"/>
        <v>39.209188597700255</v>
      </c>
      <c r="AV88" s="181">
        <f t="shared" si="135"/>
        <v>37.5</v>
      </c>
      <c r="AW88" s="40">
        <f t="shared" si="168"/>
        <v>51.727119352174491</v>
      </c>
      <c r="AX88" s="40">
        <f t="shared" si="169"/>
        <v>51.727119352174491</v>
      </c>
      <c r="AY88" s="40">
        <f t="shared" si="170"/>
        <v>128.2728806478255</v>
      </c>
      <c r="AZ88" s="40">
        <f t="shared" si="171"/>
        <v>-231.7271193521745</v>
      </c>
      <c r="BA88" s="40">
        <f t="shared" si="172"/>
        <v>1.5818940873096556</v>
      </c>
      <c r="BB88" s="40">
        <f t="shared" si="173"/>
        <v>845.08158203585731</v>
      </c>
      <c r="BC88" s="41">
        <f>COS(RADIANS(AU88))*COS(RADIANS(AW88-Insolation!$L$6))*SIN(RADIANS(0))+(SIN(RADIANS(AU88))*COS(RADIANS(0)))</f>
        <v>0.63215357337905653</v>
      </c>
      <c r="BD88" s="41">
        <f>COS(RADIANS(AU88))*COS(RADIANS(AW88-Insolation!$L$6))*SIN(RADIANS(Insolation!$L$7))+SIN(RADIANS(AU88))*COS(RADIANS(Insolation!$L$7))</f>
        <v>0.75266393581934876</v>
      </c>
      <c r="BE88" s="40">
        <f t="shared" si="174"/>
        <v>534.22134188079349</v>
      </c>
      <c r="BF88" s="40">
        <f t="shared" si="175"/>
        <v>94.120317545074869</v>
      </c>
      <c r="BG88" s="40">
        <f t="shared" si="176"/>
        <v>636.0624296235502</v>
      </c>
      <c r="BH88" s="40">
        <f>$AS$91*BB88*((1+COS(RADIANS(Insolation!$L$7)))/2)</f>
        <v>85.887999845913356</v>
      </c>
      <c r="BI88" s="40">
        <f t="shared" si="177"/>
        <v>844.44908830803297</v>
      </c>
      <c r="BJ88" s="40">
        <f t="shared" si="178"/>
        <v>75.376619332954817</v>
      </c>
      <c r="BK88" s="40">
        <f t="shared" si="179"/>
        <v>845.08158203585731</v>
      </c>
      <c r="BL88" s="40">
        <f t="shared" si="180"/>
        <v>76.809406304382733</v>
      </c>
      <c r="BN88" s="208" t="s">
        <v>184</v>
      </c>
      <c r="BO88" s="48">
        <v>9.5</v>
      </c>
      <c r="BP88" s="40">
        <f t="shared" si="181"/>
        <v>29.47501285221599</v>
      </c>
      <c r="BQ88" s="181">
        <f t="shared" si="136"/>
        <v>37.5</v>
      </c>
      <c r="BR88" s="40">
        <f t="shared" si="182"/>
        <v>43.588648837963426</v>
      </c>
      <c r="BS88" s="40">
        <f t="shared" si="183"/>
        <v>43.588648837963426</v>
      </c>
      <c r="BT88" s="40">
        <f t="shared" si="184"/>
        <v>136.41135116203657</v>
      </c>
      <c r="BU88" s="40">
        <f t="shared" si="185"/>
        <v>-223.58864883796343</v>
      </c>
      <c r="BV88" s="40">
        <f t="shared" si="186"/>
        <v>2.0323388017946589</v>
      </c>
      <c r="BW88" s="40">
        <f t="shared" si="187"/>
        <v>831.7395219425448</v>
      </c>
      <c r="BX88" s="41">
        <f>COS(RADIANS(BP88))*COS(RADIANS(BR88-Insolation!$L$6))*SIN(RADIANS(0))+(SIN(RADIANS(BP88))*COS(RADIANS(0)))</f>
        <v>0.49204394420701358</v>
      </c>
      <c r="BY88" s="41">
        <f>COS(RADIANS(BP88))*COS(RADIANS(BR88-Insolation!$L$6))*SIN(RADIANS(Insolation!$L$7))+SIN(RADIANS(BP88))*COS(RADIANS(Insolation!$L$7))</f>
        <v>0.72214464989330174</v>
      </c>
      <c r="BZ88" s="40">
        <f t="shared" si="188"/>
        <v>409.25239492946565</v>
      </c>
      <c r="CA88" s="40">
        <f t="shared" si="189"/>
        <v>75.870056540583391</v>
      </c>
      <c r="CB88" s="40">
        <f t="shared" si="190"/>
        <v>600.63624587562117</v>
      </c>
      <c r="CC88" s="40">
        <f>$BN$91*BW88*((1+COS(RADIANS(Insolation!$L$7)))/2)</f>
        <v>69.234014232329272</v>
      </c>
      <c r="CD88" s="40">
        <f t="shared" si="191"/>
        <v>820.09333170901414</v>
      </c>
      <c r="CE88" s="40">
        <f t="shared" si="192"/>
        <v>61.846582026930591</v>
      </c>
      <c r="CF88" s="40">
        <f t="shared" si="193"/>
        <v>831.7395219425448</v>
      </c>
      <c r="CG88" s="40">
        <f t="shared" si="194"/>
        <v>56.600729204010584</v>
      </c>
      <c r="CI88" s="208" t="s">
        <v>184</v>
      </c>
      <c r="CJ88" s="48">
        <v>9.5</v>
      </c>
      <c r="CK88" s="40">
        <f t="shared" si="195"/>
        <v>21.301912591772652</v>
      </c>
      <c r="CL88" s="181">
        <f t="shared" si="137"/>
        <v>37.5</v>
      </c>
      <c r="CM88" s="40">
        <f t="shared" si="196"/>
        <v>38.115832597697796</v>
      </c>
      <c r="CN88" s="40">
        <f t="shared" si="197"/>
        <v>38.115832597697796</v>
      </c>
      <c r="CO88" s="40">
        <f t="shared" si="198"/>
        <v>141.88416740230221</v>
      </c>
      <c r="CP88" s="40">
        <f t="shared" si="199"/>
        <v>-218.11583259769779</v>
      </c>
      <c r="CQ88" s="40">
        <f t="shared" si="200"/>
        <v>2.7526799804271702</v>
      </c>
      <c r="CR88" s="40">
        <f t="shared" si="201"/>
        <v>794.17321310903731</v>
      </c>
      <c r="CS88" s="41">
        <f>COS(RADIANS(CK88))*COS(RADIANS(CM88-Insolation!$L$6))*SIN(RADIANS(0))+(SIN(RADIANS(CK88))*COS(RADIANS(0)))</f>
        <v>0.36328233107751834</v>
      </c>
      <c r="CT88" s="41">
        <f>COS(RADIANS(CK88))*COS(RADIANS(CM88-Insolation!$L$6))*SIN(RADIANS(Insolation!$L$7))+SIN(RADIANS(CK88))*COS(RADIANS(Insolation!$L$7))</f>
        <v>0.67502088865408338</v>
      </c>
      <c r="CU88" s="40">
        <f t="shared" si="202"/>
        <v>288.50909613757381</v>
      </c>
      <c r="CV88" s="40">
        <f t="shared" si="203"/>
        <v>56.774323148109765</v>
      </c>
      <c r="CW88" s="40">
        <f t="shared" si="204"/>
        <v>536.08350805813109</v>
      </c>
      <c r="CX88" s="40">
        <f>$CI$91*CR88*((1+COS(RADIANS(Insolation!$L$7)))/2)</f>
        <v>51.808506228864182</v>
      </c>
      <c r="CY88" s="40">
        <f t="shared" si="205"/>
        <v>750.23597483790365</v>
      </c>
      <c r="CZ88" s="40">
        <f t="shared" si="206"/>
        <v>46.804202268253832</v>
      </c>
      <c r="DA88" s="40">
        <f t="shared" si="207"/>
        <v>794.17321310903731</v>
      </c>
      <c r="DB88" s="40">
        <f t="shared" si="208"/>
        <v>38.699715803351694</v>
      </c>
      <c r="DD88" s="208" t="s">
        <v>184</v>
      </c>
      <c r="DE88" s="48">
        <v>9.5</v>
      </c>
      <c r="DF88" s="40">
        <f t="shared" si="209"/>
        <v>17.662996240067642</v>
      </c>
      <c r="DG88" s="181">
        <f t="shared" si="138"/>
        <v>37.5</v>
      </c>
      <c r="DH88" s="40">
        <f t="shared" si="210"/>
        <v>35.917612021610957</v>
      </c>
      <c r="DI88" s="40">
        <f t="shared" si="211"/>
        <v>35.917612021610957</v>
      </c>
      <c r="DJ88" s="40">
        <f t="shared" si="212"/>
        <v>144.08238797838905</v>
      </c>
      <c r="DK88" s="40">
        <f t="shared" si="213"/>
        <v>-215.91761202161095</v>
      </c>
      <c r="DL88" s="40">
        <f t="shared" si="214"/>
        <v>3.2957862738395565</v>
      </c>
      <c r="DM88" s="40">
        <f t="shared" si="215"/>
        <v>771.03875142783897</v>
      </c>
      <c r="DN88" s="41">
        <f>COS(RADIANS(DF88))*COS(RADIANS(DH88-Insolation!$L$6))*SIN(RADIANS(0))+(SIN(RADIANS(DF88))*COS(RADIANS(0)))</f>
        <v>0.30341773310288428</v>
      </c>
      <c r="DO88" s="41">
        <f>COS(RADIANS(DF88))*COS(RADIANS(DH88-Insolation!$L$6))*SIN(RADIANS(Insolation!$L$7))+SIN(RADIANS(DF88))*COS(RADIANS(Insolation!$L$7))</f>
        <v>0.64835902919636434</v>
      </c>
      <c r="DP88" s="40">
        <f t="shared" si="216"/>
        <v>233.94683009271318</v>
      </c>
      <c r="DQ88" s="40">
        <f t="shared" si="217"/>
        <v>45.164223104354555</v>
      </c>
      <c r="DR88" s="40">
        <f t="shared" si="218"/>
        <v>499.90993634853055</v>
      </c>
      <c r="DS88" s="40">
        <f>$DD$91*DM88*((1+COS(RADIANS(Insolation!$L$7)))/2)</f>
        <v>41.213893962585594</v>
      </c>
      <c r="DT88" s="40">
        <f t="shared" si="219"/>
        <v>707.97014648758318</v>
      </c>
      <c r="DU88" s="40">
        <f t="shared" si="220"/>
        <v>37.396778998293001</v>
      </c>
      <c r="DV88" s="40">
        <f t="shared" si="221"/>
        <v>771.03875142783897</v>
      </c>
      <c r="DW88" s="40">
        <f t="shared" si="222"/>
        <v>29.43392464801536</v>
      </c>
    </row>
    <row r="89" spans="3:127" x14ac:dyDescent="0.15">
      <c r="C89" s="41">
        <f>0.174+0.035*SIN(RADIANS(360/365*(C81-100)))</f>
        <v>0.20888306156139594</v>
      </c>
      <c r="D89" s="48">
        <v>10</v>
      </c>
      <c r="E89" s="40">
        <f t="shared" si="139"/>
        <v>58.533090910371556</v>
      </c>
      <c r="F89" s="181">
        <f t="shared" si="133"/>
        <v>30</v>
      </c>
      <c r="G89" s="40">
        <f t="shared" si="140"/>
        <v>63.01028418539385</v>
      </c>
      <c r="H89" s="40">
        <f t="shared" si="141"/>
        <v>63.01028418539385</v>
      </c>
      <c r="I89" s="40">
        <f t="shared" si="142"/>
        <v>116.98971581460614</v>
      </c>
      <c r="J89" s="40">
        <f t="shared" si="143"/>
        <v>-243.01028418539386</v>
      </c>
      <c r="K89" s="40">
        <f t="shared" si="144"/>
        <v>1.1724129514997625</v>
      </c>
      <c r="L89" s="40">
        <f t="shared" si="145"/>
        <v>850.62222301639724</v>
      </c>
      <c r="M89" s="41">
        <f>COS(RADIANS(E89))*COS(RADIANS(G89-Insolation!$L$6))*SIN(RADIANS(0))+(SIN(RADIANS(E89))*COS(RADIANS(0)))</f>
        <v>0.85294178874498949</v>
      </c>
      <c r="N89" s="41">
        <f>COS(RADIANS(E89))*COS(RADIANS(G89-Insolation!$L$6))*SIN(RADIANS(Insolation!$L$7))+SIN(RADIANS(E89))*COS(RADIANS(Insolation!$L$7))</f>
        <v>0.8073972384092446</v>
      </c>
      <c r="O89" s="40">
        <f t="shared" si="146"/>
        <v>725.53124044584524</v>
      </c>
      <c r="P89" s="40">
        <f t="shared" si="147"/>
        <v>114.72031961052627</v>
      </c>
      <c r="Q89" s="40">
        <f t="shared" si="148"/>
        <v>686.79003379297171</v>
      </c>
      <c r="R89" s="40">
        <f>$C$91*L89*((1+COS(RADIANS(Insolation!$L$7)))/2)</f>
        <v>104.68620431835342</v>
      </c>
      <c r="S89" s="40">
        <f t="shared" si="149"/>
        <v>791.3394960936198</v>
      </c>
      <c r="T89" s="40">
        <f t="shared" si="150"/>
        <v>91.892960945505493</v>
      </c>
      <c r="U89" s="40">
        <f t="shared" si="151"/>
        <v>850.62222301639724</v>
      </c>
      <c r="V89" s="40">
        <f t="shared" si="152"/>
        <v>106.28503711226273</v>
      </c>
      <c r="X89" s="41">
        <f>0.174+0.035*SIN(RADIANS(360/365*(X81-100)))</f>
        <v>0.20257883180060704</v>
      </c>
      <c r="Y89" s="48">
        <v>10</v>
      </c>
      <c r="Z89" s="40">
        <f t="shared" si="153"/>
        <v>52.887914218284521</v>
      </c>
      <c r="AA89" s="181">
        <f t="shared" si="134"/>
        <v>30</v>
      </c>
      <c r="AB89" s="40">
        <f t="shared" si="154"/>
        <v>53.591609505365938</v>
      </c>
      <c r="AC89" s="40">
        <f t="shared" si="155"/>
        <v>53.591609505365938</v>
      </c>
      <c r="AD89" s="40">
        <f t="shared" si="156"/>
        <v>126.40839049463406</v>
      </c>
      <c r="AE89" s="40">
        <f t="shared" si="157"/>
        <v>-233.59160950536594</v>
      </c>
      <c r="AF89" s="40">
        <f t="shared" si="158"/>
        <v>1.2539866235030563</v>
      </c>
      <c r="AG89" s="40">
        <f t="shared" si="159"/>
        <v>856.99152702986237</v>
      </c>
      <c r="AH89" s="41">
        <f>COS(RADIANS(Z89))*COS(RADIANS(AB89-Insolation!$L$6))*SIN(RADIANS(0))+(SIN(RADIANS(Z89))*COS(RADIANS(0)))</f>
        <v>0.79745667238974549</v>
      </c>
      <c r="AI89" s="41">
        <f>COS(RADIANS(Z89))*COS(RADIANS(AB89-Insolation!$L$6))*SIN(RADIANS(Insolation!$L$7))+SIN(RADIANS(Z89))*COS(RADIANS(Insolation!$L$7))</f>
        <v>0.82839440576192658</v>
      </c>
      <c r="AJ89" s="40">
        <f t="shared" si="160"/>
        <v>683.41361141144068</v>
      </c>
      <c r="AK89" s="40">
        <f t="shared" si="161"/>
        <v>109.40484273130188</v>
      </c>
      <c r="AL89" s="40">
        <f t="shared" si="162"/>
        <v>709.92698677690885</v>
      </c>
      <c r="AM89" s="40">
        <f>$X$91*AG89*((1+COS(RADIANS(Insolation!$L$7)))/2)</f>
        <v>99.835650375362917</v>
      </c>
      <c r="AN89" s="40">
        <f t="shared" si="163"/>
        <v>832.3124553795227</v>
      </c>
      <c r="AO89" s="40">
        <f t="shared" si="164"/>
        <v>89.205138072162811</v>
      </c>
      <c r="AP89" s="40">
        <f t="shared" si="165"/>
        <v>856.99152702986237</v>
      </c>
      <c r="AQ89" s="40">
        <f t="shared" si="166"/>
        <v>98.325232279564659</v>
      </c>
      <c r="AS89" s="41">
        <f>0.174+0.035*SIN(RADIANS(360/365*(AS81-100)))</f>
        <v>0.18832745855854674</v>
      </c>
      <c r="AT89" s="48">
        <v>10</v>
      </c>
      <c r="AU89" s="40">
        <f t="shared" si="167"/>
        <v>43.454785495279111</v>
      </c>
      <c r="AV89" s="181">
        <f t="shared" si="135"/>
        <v>30</v>
      </c>
      <c r="AW89" s="40">
        <f t="shared" si="168"/>
        <v>43.493172149539895</v>
      </c>
      <c r="AX89" s="40">
        <f t="shared" si="169"/>
        <v>43.493172149539895</v>
      </c>
      <c r="AY89" s="40">
        <f t="shared" si="170"/>
        <v>136.5068278504601</v>
      </c>
      <c r="AZ89" s="40">
        <f t="shared" si="171"/>
        <v>-223.4931721495399</v>
      </c>
      <c r="BA89" s="40">
        <f t="shared" si="172"/>
        <v>1.4539492020254161</v>
      </c>
      <c r="BB89" s="40">
        <f t="shared" si="173"/>
        <v>865.69158227214018</v>
      </c>
      <c r="BC89" s="41">
        <f>COS(RADIANS(AU89))*COS(RADIANS(AW89-Insolation!$L$6))*SIN(RADIANS(0))+(SIN(RADIANS(AU89))*COS(RADIANS(0)))</f>
        <v>0.68778193805323828</v>
      </c>
      <c r="BD89" s="41">
        <f>COS(RADIANS(AU89))*COS(RADIANS(AW89-Insolation!$L$6))*SIN(RADIANS(Insolation!$L$7))+SIN(RADIANS(AU89))*COS(RADIANS(Insolation!$L$7))</f>
        <v>0.83162982329551238</v>
      </c>
      <c r="BE89" s="40">
        <f t="shared" si="174"/>
        <v>595.40703421150693</v>
      </c>
      <c r="BF89" s="40">
        <f t="shared" si="175"/>
        <v>96.415740623838289</v>
      </c>
      <c r="BG89" s="40">
        <f t="shared" si="176"/>
        <v>719.93493759339242</v>
      </c>
      <c r="BH89" s="40">
        <f>$AS$91*BB89*((1+COS(RADIANS(Insolation!$L$7)))/2)</f>
        <v>87.982651693435244</v>
      </c>
      <c r="BI89" s="40">
        <f t="shared" si="177"/>
        <v>865.04366317455629</v>
      </c>
      <c r="BJ89" s="40">
        <f t="shared" si="178"/>
        <v>79.985872024165118</v>
      </c>
      <c r="BK89" s="40">
        <f t="shared" si="179"/>
        <v>865.69158227214018</v>
      </c>
      <c r="BL89" s="40">
        <f t="shared" si="180"/>
        <v>81.364372784470063</v>
      </c>
      <c r="BN89" s="41">
        <f>0.174+0.035*SIN(RADIANS(360/365*(BN81-100)))</f>
        <v>0.17069121375639804</v>
      </c>
      <c r="BO89" s="48">
        <v>10</v>
      </c>
      <c r="BP89" s="40">
        <f t="shared" si="181"/>
        <v>33.156958009951396</v>
      </c>
      <c r="BQ89" s="181">
        <f t="shared" si="136"/>
        <v>30</v>
      </c>
      <c r="BR89" s="40">
        <f t="shared" si="182"/>
        <v>36.077826766192857</v>
      </c>
      <c r="BS89" s="40">
        <f t="shared" si="183"/>
        <v>36.077826766192857</v>
      </c>
      <c r="BT89" s="40">
        <f t="shared" si="184"/>
        <v>143.92217323380714</v>
      </c>
      <c r="BU89" s="40">
        <f t="shared" si="185"/>
        <v>-216.07782676619286</v>
      </c>
      <c r="BV89" s="40">
        <f t="shared" si="186"/>
        <v>1.828372597783029</v>
      </c>
      <c r="BW89" s="40">
        <f t="shared" si="187"/>
        <v>861.20670933620863</v>
      </c>
      <c r="BX89" s="41">
        <f>COS(RADIANS(BP89))*COS(RADIANS(BR89-Insolation!$L$6))*SIN(RADIANS(0))+(SIN(RADIANS(BP89))*COS(RADIANS(0)))</f>
        <v>0.54693447124100303</v>
      </c>
      <c r="BY89" s="41">
        <f>COS(RADIANS(BP89))*COS(RADIANS(BR89-Insolation!$L$6))*SIN(RADIANS(Insolation!$L$7))+SIN(RADIANS(BP89))*COS(RADIANS(Insolation!$L$7))</f>
        <v>0.80006315795408289</v>
      </c>
      <c r="BZ89" s="40">
        <f t="shared" si="188"/>
        <v>471.02363620000347</v>
      </c>
      <c r="CA89" s="40">
        <f t="shared" si="189"/>
        <v>78.558010058083411</v>
      </c>
      <c r="CB89" s="40">
        <f t="shared" si="190"/>
        <v>689.0197595227711</v>
      </c>
      <c r="CC89" s="40">
        <f>$BN$91*BW89*((1+COS(RADIANS(Insolation!$L$7)))/2)</f>
        <v>71.686863492918533</v>
      </c>
      <c r="CD89" s="40">
        <f t="shared" si="191"/>
        <v>849.14791339983458</v>
      </c>
      <c r="CE89" s="40">
        <f t="shared" si="192"/>
        <v>65.944822076977573</v>
      </c>
      <c r="CF89" s="40">
        <f t="shared" si="193"/>
        <v>861.20670933620863</v>
      </c>
      <c r="CG89" s="40">
        <f t="shared" si="194"/>
        <v>60.762046875473331</v>
      </c>
      <c r="CI89" s="41">
        <f>0.174+0.035*SIN(RADIANS(360/365*(CI81-100)))</f>
        <v>0.15342751616976344</v>
      </c>
      <c r="CJ89" s="48">
        <v>10</v>
      </c>
      <c r="CK89" s="40">
        <f t="shared" si="195"/>
        <v>24.574270504640417</v>
      </c>
      <c r="CL89" s="181">
        <f t="shared" si="137"/>
        <v>30</v>
      </c>
      <c r="CM89" s="40">
        <f t="shared" si="196"/>
        <v>31.290794291280228</v>
      </c>
      <c r="CN89" s="40">
        <f t="shared" si="197"/>
        <v>31.290794291280228</v>
      </c>
      <c r="CO89" s="40">
        <f t="shared" si="198"/>
        <v>148.70920570871976</v>
      </c>
      <c r="CP89" s="40">
        <f t="shared" si="199"/>
        <v>-211.29079429128024</v>
      </c>
      <c r="CQ89" s="40">
        <f t="shared" si="200"/>
        <v>2.4045834550578866</v>
      </c>
      <c r="CR89" s="40">
        <f t="shared" si="201"/>
        <v>837.74116064724046</v>
      </c>
      <c r="CS89" s="41">
        <f>COS(RADIANS(CK89))*COS(RADIANS(CM89-Insolation!$L$6))*SIN(RADIANS(0))+(SIN(RADIANS(CK89))*COS(RADIANS(0)))</f>
        <v>0.41587244472491247</v>
      </c>
      <c r="CT89" s="41">
        <f>COS(RADIANS(CK89))*COS(RADIANS(CM89-Insolation!$L$6))*SIN(RADIANS(Insolation!$L$7))+SIN(RADIANS(CK89))*COS(RADIANS(Insolation!$L$7))</f>
        <v>0.7496739010329676</v>
      </c>
      <c r="CU89" s="40">
        <f t="shared" si="202"/>
        <v>348.3934645250535</v>
      </c>
      <c r="CV89" s="40">
        <f t="shared" si="203"/>
        <v>59.888934282814745</v>
      </c>
      <c r="CW89" s="40">
        <f t="shared" si="204"/>
        <v>628.03268395830275</v>
      </c>
      <c r="CX89" s="40">
        <f>$CI$91*CR89*((1+COS(RADIANS(Insolation!$L$7)))/2)</f>
        <v>54.650695116821453</v>
      </c>
      <c r="CY89" s="40">
        <f t="shared" si="205"/>
        <v>791.39354733402206</v>
      </c>
      <c r="CZ89" s="40">
        <f t="shared" si="206"/>
        <v>50.640917007653407</v>
      </c>
      <c r="DA89" s="40">
        <f t="shared" si="207"/>
        <v>837.74116064724046</v>
      </c>
      <c r="DB89" s="40">
        <f t="shared" si="208"/>
        <v>42.397545897489266</v>
      </c>
      <c r="DD89" s="41">
        <f>0.174+0.035*SIN(RADIANS(360/365*(DD81-100)))</f>
        <v>0.14212883794670242</v>
      </c>
      <c r="DE89" s="48">
        <v>10</v>
      </c>
      <c r="DF89" s="40">
        <f t="shared" si="209"/>
        <v>20.764894733548683</v>
      </c>
      <c r="DG89" s="181">
        <f t="shared" si="138"/>
        <v>30</v>
      </c>
      <c r="DH89" s="40">
        <f t="shared" si="210"/>
        <v>29.406005158223564</v>
      </c>
      <c r="DI89" s="40">
        <f t="shared" si="211"/>
        <v>29.406005158223564</v>
      </c>
      <c r="DJ89" s="40">
        <f t="shared" si="212"/>
        <v>150.59399484177644</v>
      </c>
      <c r="DK89" s="40">
        <f t="shared" si="213"/>
        <v>-209.40600515822356</v>
      </c>
      <c r="DL89" s="40">
        <f t="shared" si="214"/>
        <v>2.8206029470740486</v>
      </c>
      <c r="DM89" s="40">
        <f t="shared" si="215"/>
        <v>824.91131831089501</v>
      </c>
      <c r="DN89" s="41">
        <f>COS(RADIANS(DF89))*COS(RADIANS(DH89-Insolation!$L$6))*SIN(RADIANS(0))+(SIN(RADIANS(DF89))*COS(RADIANS(0)))</f>
        <v>0.35453412577525301</v>
      </c>
      <c r="DO89" s="41">
        <f>COS(RADIANS(DF89))*COS(RADIANS(DH89-Insolation!$L$6))*SIN(RADIANS(Insolation!$L$7))+SIN(RADIANS(DF89))*COS(RADIANS(Insolation!$L$7))</f>
        <v>0.72092005693096284</v>
      </c>
      <c r="DP89" s="40">
        <f t="shared" si="216"/>
        <v>292.45921307946463</v>
      </c>
      <c r="DQ89" s="40">
        <f t="shared" si="217"/>
        <v>48.319852604694034</v>
      </c>
      <c r="DR89" s="40">
        <f t="shared" si="218"/>
        <v>594.69511455968609</v>
      </c>
      <c r="DS89" s="40">
        <f>$DD$91*DM89*((1+COS(RADIANS(Insolation!$L$7)))/2)</f>
        <v>44.093513508164776</v>
      </c>
      <c r="DT89" s="40">
        <f t="shared" si="219"/>
        <v>757.43610263729659</v>
      </c>
      <c r="DU89" s="40">
        <f t="shared" si="220"/>
        <v>40.973162785911796</v>
      </c>
      <c r="DV89" s="40">
        <f t="shared" si="221"/>
        <v>824.91131831089501</v>
      </c>
      <c r="DW89" s="40">
        <f t="shared" si="222"/>
        <v>32.725444652744159</v>
      </c>
    </row>
    <row r="90" spans="3:127" x14ac:dyDescent="0.15">
      <c r="C90" s="208" t="s">
        <v>182</v>
      </c>
      <c r="D90" s="48">
        <v>10.5</v>
      </c>
      <c r="E90" s="40">
        <f t="shared" si="139"/>
        <v>63.402259495564529</v>
      </c>
      <c r="F90" s="181">
        <f t="shared" si="133"/>
        <v>22.5</v>
      </c>
      <c r="G90" s="40">
        <f t="shared" si="140"/>
        <v>52.670551718594133</v>
      </c>
      <c r="H90" s="40">
        <f t="shared" si="141"/>
        <v>52.670551718594133</v>
      </c>
      <c r="I90" s="40">
        <f t="shared" si="142"/>
        <v>127.32944828140586</v>
      </c>
      <c r="J90" s="40">
        <f t="shared" si="143"/>
        <v>-232.67055171859414</v>
      </c>
      <c r="K90" s="40">
        <f t="shared" si="144"/>
        <v>1.1183532013517541</v>
      </c>
      <c r="L90" s="40">
        <f t="shared" si="145"/>
        <v>860.28202787739087</v>
      </c>
      <c r="M90" s="41">
        <f>COS(RADIANS(E90))*COS(RADIANS(G90-Insolation!$L$6))*SIN(RADIANS(0))+(SIN(RADIANS(E90))*COS(RADIANS(0)))</f>
        <v>0.89417189380895012</v>
      </c>
      <c r="N90" s="41">
        <f>COS(RADIANS(E90))*COS(RADIANS(G90-Insolation!$L$6))*SIN(RADIANS(Insolation!$L$7))+SIN(RADIANS(E90))*COS(RADIANS(Insolation!$L$7))</f>
        <v>0.86772886530461235</v>
      </c>
      <c r="O90" s="40">
        <f t="shared" si="146"/>
        <v>769.24001007693062</v>
      </c>
      <c r="P90" s="40">
        <f t="shared" si="147"/>
        <v>116.02310229247736</v>
      </c>
      <c r="Q90" s="40">
        <f t="shared" si="148"/>
        <v>746.49154789199929</v>
      </c>
      <c r="R90" s="40">
        <f>$C$91*L90*((1+COS(RADIANS(Insolation!$L$7)))/2)</f>
        <v>105.87503794859576</v>
      </c>
      <c r="S90" s="40">
        <f t="shared" si="149"/>
        <v>800.32607662751923</v>
      </c>
      <c r="T90" s="40">
        <f t="shared" si="150"/>
        <v>96.742190427344724</v>
      </c>
      <c r="U90" s="40">
        <f t="shared" si="151"/>
        <v>860.28202787739087</v>
      </c>
      <c r="V90" s="40">
        <f t="shared" si="152"/>
        <v>109.88384969746569</v>
      </c>
      <c r="X90" s="208" t="s">
        <v>182</v>
      </c>
      <c r="Y90" s="48">
        <v>10.5</v>
      </c>
      <c r="Z90" s="40">
        <f t="shared" si="153"/>
        <v>57.192875941317645</v>
      </c>
      <c r="AA90" s="181">
        <f t="shared" si="134"/>
        <v>22.5</v>
      </c>
      <c r="AB90" s="40">
        <f t="shared" si="154"/>
        <v>43.311343760226727</v>
      </c>
      <c r="AC90" s="40">
        <f t="shared" si="155"/>
        <v>43.311343760226727</v>
      </c>
      <c r="AD90" s="40">
        <f t="shared" si="156"/>
        <v>136.68865623977328</v>
      </c>
      <c r="AE90" s="40">
        <f t="shared" si="157"/>
        <v>-223.31134376022672</v>
      </c>
      <c r="AF90" s="40">
        <f t="shared" si="158"/>
        <v>1.1897690683247428</v>
      </c>
      <c r="AG90" s="40">
        <f t="shared" si="159"/>
        <v>868.21306322031739</v>
      </c>
      <c r="AH90" s="41">
        <f>COS(RADIANS(Z90))*COS(RADIANS(AB90-Insolation!$L$6))*SIN(RADIANS(0))+(SIN(RADIANS(Z90))*COS(RADIANS(0)))</f>
        <v>0.84049924193108527</v>
      </c>
      <c r="AI90" s="41">
        <f>COS(RADIANS(Z90))*COS(RADIANS(AB90-Insolation!$L$6))*SIN(RADIANS(Insolation!$L$7))+SIN(RADIANS(Z90))*COS(RADIANS(Insolation!$L$7))</f>
        <v>0.89137819496541115</v>
      </c>
      <c r="AJ90" s="40">
        <f t="shared" si="160"/>
        <v>729.73242147134215</v>
      </c>
      <c r="AK90" s="40">
        <f t="shared" si="161"/>
        <v>110.83740112120248</v>
      </c>
      <c r="AL90" s="40">
        <f t="shared" si="162"/>
        <v>773.90619313871696</v>
      </c>
      <c r="AM90" s="40">
        <f>$X$91*AG90*((1+COS(RADIANS(Insolation!$L$7)))/2)</f>
        <v>101.14290876526496</v>
      </c>
      <c r="AN90" s="40">
        <f t="shared" si="163"/>
        <v>843.21084123892263</v>
      </c>
      <c r="AO90" s="40">
        <f t="shared" si="164"/>
        <v>93.502741125296694</v>
      </c>
      <c r="AP90" s="40">
        <f t="shared" si="165"/>
        <v>868.21306322031739</v>
      </c>
      <c r="AQ90" s="40">
        <f t="shared" si="166"/>
        <v>101.99807637059239</v>
      </c>
      <c r="AS90" s="208" t="s">
        <v>182</v>
      </c>
      <c r="AT90" s="48">
        <v>10.5</v>
      </c>
      <c r="AU90" s="40">
        <f t="shared" si="167"/>
        <v>47.060009617591191</v>
      </c>
      <c r="AV90" s="181">
        <f t="shared" si="135"/>
        <v>22.5</v>
      </c>
      <c r="AW90" s="40">
        <f t="shared" si="168"/>
        <v>34.147934078138178</v>
      </c>
      <c r="AX90" s="40">
        <f t="shared" si="169"/>
        <v>34.147934078138178</v>
      </c>
      <c r="AY90" s="40">
        <f t="shared" si="170"/>
        <v>145.85206592186182</v>
      </c>
      <c r="AZ90" s="40">
        <f t="shared" si="171"/>
        <v>-214.14793407813818</v>
      </c>
      <c r="BA90" s="40">
        <f t="shared" si="172"/>
        <v>1.3659940659623528</v>
      </c>
      <c r="BB90" s="40">
        <f t="shared" si="173"/>
        <v>880.15063750688932</v>
      </c>
      <c r="BC90" s="41">
        <f>COS(RADIANS(AU90))*COS(RADIANS(AW90-Insolation!$L$6))*SIN(RADIANS(0))+(SIN(RADIANS(AU90))*COS(RADIANS(0)))</f>
        <v>0.73206760184239361</v>
      </c>
      <c r="BD90" s="41">
        <f>COS(RADIANS(AU90))*COS(RADIANS(AW90-Insolation!$L$6))*SIN(RADIANS(Insolation!$L$7))+SIN(RADIANS(AU90))*COS(RADIANS(Insolation!$L$7))</f>
        <v>0.89643262067854557</v>
      </c>
      <c r="BE90" s="40">
        <f t="shared" si="174"/>
        <v>644.32976645972235</v>
      </c>
      <c r="BF90" s="40">
        <f t="shared" si="175"/>
        <v>98.026106887907019</v>
      </c>
      <c r="BG90" s="40">
        <f t="shared" si="176"/>
        <v>788.99574257219342</v>
      </c>
      <c r="BH90" s="40">
        <f>$AS$91*BB90*((1+COS(RADIANS(Insolation!$L$7)))/2)</f>
        <v>89.452165832866001</v>
      </c>
      <c r="BI90" s="40">
        <f t="shared" si="177"/>
        <v>879.49189665914469</v>
      </c>
      <c r="BJ90" s="40">
        <f t="shared" si="178"/>
        <v>83.575493178507401</v>
      </c>
      <c r="BK90" s="40">
        <f t="shared" si="179"/>
        <v>880.15063750688932</v>
      </c>
      <c r="BL90" s="40">
        <f t="shared" si="180"/>
        <v>84.893921937641622</v>
      </c>
      <c r="BN90" s="208" t="s">
        <v>182</v>
      </c>
      <c r="BO90" s="48">
        <v>10.5</v>
      </c>
      <c r="BP90" s="40">
        <f t="shared" si="181"/>
        <v>36.201922465429142</v>
      </c>
      <c r="BQ90" s="181">
        <f t="shared" si="136"/>
        <v>22.5</v>
      </c>
      <c r="BR90" s="40">
        <f t="shared" si="182"/>
        <v>27.878591167454061</v>
      </c>
      <c r="BS90" s="40">
        <f t="shared" si="183"/>
        <v>27.878591167454061</v>
      </c>
      <c r="BT90" s="40">
        <f t="shared" si="184"/>
        <v>152.12140883254594</v>
      </c>
      <c r="BU90" s="40">
        <f t="shared" si="185"/>
        <v>-207.87859116745406</v>
      </c>
      <c r="BV90" s="40">
        <f t="shared" si="186"/>
        <v>1.6930994953927705</v>
      </c>
      <c r="BW90" s="40">
        <f t="shared" si="187"/>
        <v>881.32326316602348</v>
      </c>
      <c r="BX90" s="41">
        <f>COS(RADIANS(BP90))*COS(RADIANS(BR90-Insolation!$L$6))*SIN(RADIANS(0))+(SIN(RADIANS(BP90))*COS(RADIANS(0)))</f>
        <v>0.59063274351045558</v>
      </c>
      <c r="BY90" s="41">
        <f>COS(RADIANS(BP90))*COS(RADIANS(BR90-Insolation!$L$6))*SIN(RADIANS(Insolation!$L$7))+SIN(RADIANS(BP90))*COS(RADIANS(Insolation!$L$7))</f>
        <v>0.86400643082333572</v>
      </c>
      <c r="BZ90" s="40">
        <f t="shared" si="188"/>
        <v>520.53837684333564</v>
      </c>
      <c r="CA90" s="40">
        <f t="shared" si="189"/>
        <v>80.393012527252083</v>
      </c>
      <c r="CB90" s="40">
        <f t="shared" si="190"/>
        <v>761.46896700965135</v>
      </c>
      <c r="CC90" s="40">
        <f>$BN$91*BW90*((1+COS(RADIANS(Insolation!$L$7)))/2)</f>
        <v>73.361365830989499</v>
      </c>
      <c r="CD90" s="40">
        <f t="shared" si="191"/>
        <v>868.98279104790697</v>
      </c>
      <c r="CE90" s="40">
        <f t="shared" si="192"/>
        <v>69.014453457393998</v>
      </c>
      <c r="CF90" s="40">
        <f t="shared" si="193"/>
        <v>881.32326316602348</v>
      </c>
      <c r="CG90" s="40">
        <f t="shared" si="194"/>
        <v>63.937879037646709</v>
      </c>
      <c r="CI90" s="208" t="s">
        <v>182</v>
      </c>
      <c r="CJ90" s="48">
        <v>10.5</v>
      </c>
      <c r="CK90" s="40">
        <f t="shared" si="195"/>
        <v>27.241328539364314</v>
      </c>
      <c r="CL90" s="181">
        <f t="shared" si="137"/>
        <v>22.5</v>
      </c>
      <c r="CM90" s="40">
        <f t="shared" si="196"/>
        <v>23.992073592800526</v>
      </c>
      <c r="CN90" s="40">
        <f t="shared" si="197"/>
        <v>23.992073592800526</v>
      </c>
      <c r="CO90" s="40">
        <f t="shared" si="198"/>
        <v>156.00792640719948</v>
      </c>
      <c r="CP90" s="40">
        <f t="shared" si="199"/>
        <v>-203.99207359280052</v>
      </c>
      <c r="CQ90" s="40">
        <f t="shared" si="200"/>
        <v>2.1846493550558574</v>
      </c>
      <c r="CR90" s="40">
        <f t="shared" si="201"/>
        <v>866.49220915071339</v>
      </c>
      <c r="CS90" s="41">
        <f>COS(RADIANS(CK90))*COS(RADIANS(CM90-Insolation!$L$6))*SIN(RADIANS(0))+(SIN(RADIANS(CK90))*COS(RADIANS(0)))</f>
        <v>0.45773936109505864</v>
      </c>
      <c r="CT90" s="41">
        <f>COS(RADIANS(CK90))*COS(RADIANS(CM90-Insolation!$L$6))*SIN(RADIANS(Insolation!$L$7))+SIN(RADIANS(CK90))*COS(RADIANS(Insolation!$L$7))</f>
        <v>0.81093736795318927</v>
      </c>
      <c r="CU90" s="40">
        <f t="shared" si="202"/>
        <v>396.62759021049345</v>
      </c>
      <c r="CV90" s="40">
        <f t="shared" si="203"/>
        <v>61.9443061987132</v>
      </c>
      <c r="CW90" s="40">
        <f t="shared" si="204"/>
        <v>702.67091144062385</v>
      </c>
      <c r="CX90" s="40">
        <f>$CI$91*CR90*((1+COS(RADIANS(Insolation!$L$7)))/2)</f>
        <v>56.526292090996968</v>
      </c>
      <c r="CY90" s="40">
        <f t="shared" si="205"/>
        <v>818.55395836976084</v>
      </c>
      <c r="CZ90" s="40">
        <f t="shared" si="206"/>
        <v>53.397268194679107</v>
      </c>
      <c r="DA90" s="40">
        <f t="shared" si="207"/>
        <v>866.49220915071339</v>
      </c>
      <c r="DB90" s="40">
        <f t="shared" si="208"/>
        <v>45.149326670794437</v>
      </c>
      <c r="DD90" s="208" t="s">
        <v>182</v>
      </c>
      <c r="DE90" s="48">
        <v>10.5</v>
      </c>
      <c r="DF90" s="40">
        <f t="shared" si="209"/>
        <v>23.280183050430313</v>
      </c>
      <c r="DG90" s="181">
        <f t="shared" si="138"/>
        <v>22.5</v>
      </c>
      <c r="DH90" s="40">
        <f t="shared" si="210"/>
        <v>22.49018086668697</v>
      </c>
      <c r="DI90" s="40">
        <f t="shared" si="211"/>
        <v>22.49018086668697</v>
      </c>
      <c r="DJ90" s="40">
        <f t="shared" si="212"/>
        <v>157.50981913331304</v>
      </c>
      <c r="DK90" s="40">
        <f t="shared" si="213"/>
        <v>-202.49018086668696</v>
      </c>
      <c r="DL90" s="40">
        <f t="shared" si="214"/>
        <v>2.5301862931580517</v>
      </c>
      <c r="DM90" s="40">
        <f t="shared" si="215"/>
        <v>859.67333076713635</v>
      </c>
      <c r="DN90" s="41">
        <f>COS(RADIANS(DF90))*COS(RADIANS(DH90-Insolation!$L$6))*SIN(RADIANS(0))+(SIN(RADIANS(DF90))*COS(RADIANS(0)))</f>
        <v>0.39522781492577375</v>
      </c>
      <c r="DO90" s="41">
        <f>COS(RADIANS(DF90))*COS(RADIANS(DH90-Insolation!$L$6))*SIN(RADIANS(Insolation!$L$7))+SIN(RADIANS(DF90))*COS(RADIANS(Insolation!$L$7))</f>
        <v>0.78046675144014821</v>
      </c>
      <c r="DP90" s="40">
        <f t="shared" si="216"/>
        <v>339.76681206905727</v>
      </c>
      <c r="DQ90" s="40">
        <f t="shared" si="217"/>
        <v>50.356065808275112</v>
      </c>
      <c r="DR90" s="40">
        <f t="shared" si="218"/>
        <v>670.94645176355891</v>
      </c>
      <c r="DS90" s="40">
        <f>$DD$91*DM90*((1+COS(RADIANS(Insolation!$L$7)))/2)</f>
        <v>45.95162750391988</v>
      </c>
      <c r="DT90" s="40">
        <f t="shared" si="219"/>
        <v>789.35468909650342</v>
      </c>
      <c r="DU90" s="40">
        <f t="shared" si="220"/>
        <v>43.476403774838971</v>
      </c>
      <c r="DV90" s="40">
        <f t="shared" si="221"/>
        <v>859.67333076713635</v>
      </c>
      <c r="DW90" s="40">
        <f t="shared" si="222"/>
        <v>35.129091832969074</v>
      </c>
    </row>
    <row r="91" spans="3:127" x14ac:dyDescent="0.15">
      <c r="C91" s="41">
        <f>0.095+0.04*SIN(RADIANS(360/365*(C81-100)))</f>
        <v>0.13486635607016681</v>
      </c>
      <c r="D91" s="48">
        <v>11</v>
      </c>
      <c r="E91" s="40">
        <f t="shared" si="139"/>
        <v>67.538496722611313</v>
      </c>
      <c r="F91" s="181">
        <f t="shared" si="133"/>
        <v>15</v>
      </c>
      <c r="G91" s="40">
        <f t="shared" si="140"/>
        <v>39.065889120502071</v>
      </c>
      <c r="H91" s="40">
        <f t="shared" si="141"/>
        <v>39.065889120502071</v>
      </c>
      <c r="I91" s="40">
        <f t="shared" si="142"/>
        <v>140.93411087949792</v>
      </c>
      <c r="J91" s="40">
        <f>180-H91-360</f>
        <v>-219.06588912050208</v>
      </c>
      <c r="K91" s="40">
        <f t="shared" si="144"/>
        <v>1.0820912900767803</v>
      </c>
      <c r="L91" s="40">
        <f t="shared" si="145"/>
        <v>866.82297419917279</v>
      </c>
      <c r="M91" s="41">
        <f>COS(RADIANS(E91))*COS(RADIANS(G91-Insolation!$L$6))*SIN(RADIANS(0))+(SIN(RADIANS(E91))*COS(RADIANS(0)))</f>
        <v>0.92413644686950991</v>
      </c>
      <c r="N91" s="41">
        <f>COS(RADIANS(E91))*COS(RADIANS(G91-Insolation!$L$6))*SIN(RADIANS(Insolation!$L$7))+SIN(RADIANS(E91))*COS(RADIANS(Insolation!$L$7))</f>
        <v>0.91384231582418529</v>
      </c>
      <c r="O91" s="40">
        <f t="shared" si="146"/>
        <v>801.06270344128438</v>
      </c>
      <c r="P91" s="40">
        <f t="shared" si="147"/>
        <v>116.90525588814666</v>
      </c>
      <c r="Q91" s="40">
        <f t="shared" si="148"/>
        <v>792.13951415178008</v>
      </c>
      <c r="R91" s="40">
        <f>$C$91*L91*((1+COS(RADIANS(Insolation!$L$7)))/2)</f>
        <v>106.68003319154775</v>
      </c>
      <c r="S91" s="40">
        <f t="shared" si="149"/>
        <v>806.4111623755723</v>
      </c>
      <c r="T91" s="40">
        <f t="shared" si="150"/>
        <v>100.51492303604506</v>
      </c>
      <c r="U91" s="40">
        <f t="shared" si="151"/>
        <v>866.82297419917279</v>
      </c>
      <c r="V91" s="40">
        <f t="shared" si="152"/>
        <v>112.47083184249468</v>
      </c>
      <c r="X91" s="41">
        <f>0.095+0.04*SIN(RADIANS(360/365*(X81-100)))</f>
        <v>0.12766152205783665</v>
      </c>
      <c r="Y91" s="48">
        <v>11</v>
      </c>
      <c r="Z91" s="40">
        <f t="shared" si="153"/>
        <v>60.666270782595006</v>
      </c>
      <c r="AA91" s="181">
        <f t="shared" si="134"/>
        <v>15</v>
      </c>
      <c r="AB91" s="40">
        <f t="shared" si="154"/>
        <v>30.870573587863692</v>
      </c>
      <c r="AC91" s="40">
        <f t="shared" si="155"/>
        <v>30.870573587863692</v>
      </c>
      <c r="AD91" s="40">
        <f t="shared" si="156"/>
        <v>149.1294264121363</v>
      </c>
      <c r="AE91" s="40">
        <f>180-AC91-360</f>
        <v>-210.8705735878637</v>
      </c>
      <c r="AF91" s="40">
        <f t="shared" si="158"/>
        <v>1.1470770376651835</v>
      </c>
      <c r="AG91" s="40">
        <f t="shared" si="159"/>
        <v>875.75436886405396</v>
      </c>
      <c r="AH91" s="41">
        <f>COS(RADIANS(Z91))*COS(RADIANS(AB91-Insolation!$L$6))*SIN(RADIANS(0))+(SIN(RADIANS(Z91))*COS(RADIANS(0)))</f>
        <v>0.87178102879249397</v>
      </c>
      <c r="AI91" s="41">
        <f>COS(RADIANS(Z91))*COS(RADIANS(AB91-Insolation!$L$6))*SIN(RADIANS(Insolation!$L$7))+SIN(RADIANS(Z91))*COS(RADIANS(Insolation!$L$7))</f>
        <v>0.93951878053269833</v>
      </c>
      <c r="AJ91" s="40">
        <f t="shared" si="160"/>
        <v>763.46604465782616</v>
      </c>
      <c r="AK91" s="40">
        <f t="shared" si="161"/>
        <v>111.80013567798524</v>
      </c>
      <c r="AL91" s="40">
        <f t="shared" si="162"/>
        <v>822.78767668133889</v>
      </c>
      <c r="AM91" s="40">
        <f>$X$91*AG91*((1+COS(RADIANS(Insolation!$L$7)))/2)</f>
        <v>102.02143688354307</v>
      </c>
      <c r="AN91" s="40">
        <f t="shared" si="163"/>
        <v>850.53497738162116</v>
      </c>
      <c r="AO91" s="40">
        <f t="shared" si="164"/>
        <v>96.704658498853831</v>
      </c>
      <c r="AP91" s="40">
        <f t="shared" si="165"/>
        <v>875.75436886405396</v>
      </c>
      <c r="AQ91" s="40">
        <f t="shared" si="166"/>
        <v>104.6326864892398</v>
      </c>
      <c r="AS91" s="41">
        <f>0.095+0.04*SIN(RADIANS(360/365*(AS81-100)))</f>
        <v>0.11137423835262486</v>
      </c>
      <c r="AT91" s="48">
        <v>11</v>
      </c>
      <c r="AU91" s="40">
        <f t="shared" si="167"/>
        <v>49.840565727562932</v>
      </c>
      <c r="AV91" s="181">
        <f t="shared" si="135"/>
        <v>15</v>
      </c>
      <c r="AW91" s="40">
        <f t="shared" si="168"/>
        <v>23.642038388543472</v>
      </c>
      <c r="AX91" s="40">
        <f t="shared" si="169"/>
        <v>23.642038388543472</v>
      </c>
      <c r="AY91" s="40">
        <f t="shared" si="170"/>
        <v>156.35796161145652</v>
      </c>
      <c r="AZ91" s="40">
        <f>180-AX91-360</f>
        <v>-203.64203838854348</v>
      </c>
      <c r="BA91" s="40">
        <f t="shared" si="172"/>
        <v>1.3084675222666082</v>
      </c>
      <c r="BB91" s="40">
        <f t="shared" si="173"/>
        <v>889.73787740920147</v>
      </c>
      <c r="BC91" s="41">
        <f>COS(RADIANS(AU91))*COS(RADIANS(AW91-Insolation!$L$6))*SIN(RADIANS(0))+(SIN(RADIANS(AU91))*COS(RADIANS(0)))</f>
        <v>0.76425282476078449</v>
      </c>
      <c r="BD91" s="41">
        <f>COS(RADIANS(AU91))*COS(RADIANS(AW91-Insolation!$L$6))*SIN(RADIANS(Insolation!$L$7))+SIN(RADIANS(AU91))*COS(RADIANS(Insolation!$L$7))</f>
        <v>0.94596353413849465</v>
      </c>
      <c r="BE91" s="40">
        <f t="shared" si="174"/>
        <v>679.98468610664679</v>
      </c>
      <c r="BF91" s="40">
        <f t="shared" si="175"/>
        <v>99.093878429930925</v>
      </c>
      <c r="BG91" s="40">
        <f t="shared" si="176"/>
        <v>841.65958697089093</v>
      </c>
      <c r="BH91" s="40">
        <f>$AS$91*BB91*((1+COS(RADIANS(Insolation!$L$7)))/2)</f>
        <v>90.426543782588695</v>
      </c>
      <c r="BI91" s="40">
        <f t="shared" si="177"/>
        <v>889.07196107777065</v>
      </c>
      <c r="BJ91" s="40">
        <f t="shared" si="178"/>
        <v>86.148945343537818</v>
      </c>
      <c r="BK91" s="40">
        <f t="shared" si="179"/>
        <v>889.73787740920147</v>
      </c>
      <c r="BL91" s="40">
        <f t="shared" si="180"/>
        <v>87.413327468253698</v>
      </c>
      <c r="BN91" s="41">
        <f>0.095+0.04*SIN(RADIANS(360/365*(BN81-100)))</f>
        <v>9.1218530007312046E-2</v>
      </c>
      <c r="BO91" s="48">
        <v>11</v>
      </c>
      <c r="BP91" s="40">
        <f t="shared" si="181"/>
        <v>38.490954197780461</v>
      </c>
      <c r="BQ91" s="181">
        <f t="shared" si="136"/>
        <v>15</v>
      </c>
      <c r="BR91" s="40">
        <f t="shared" si="182"/>
        <v>19.02870359447931</v>
      </c>
      <c r="BS91" s="40">
        <f t="shared" si="183"/>
        <v>19.02870359447931</v>
      </c>
      <c r="BT91" s="40">
        <f t="shared" si="184"/>
        <v>160.97129640552069</v>
      </c>
      <c r="BU91" s="40">
        <f>180-BS91-360</f>
        <v>-199.02870359447931</v>
      </c>
      <c r="BV91" s="40">
        <f t="shared" si="186"/>
        <v>1.6067068533807414</v>
      </c>
      <c r="BW91" s="40">
        <f t="shared" si="187"/>
        <v>894.41596402178607</v>
      </c>
      <c r="BX91" s="41">
        <f>COS(RADIANS(BP91))*COS(RADIANS(BR91-Insolation!$L$6))*SIN(RADIANS(0))+(SIN(RADIANS(BP91))*COS(RADIANS(0)))</f>
        <v>0.62239107146139117</v>
      </c>
      <c r="BY91" s="41">
        <f>COS(RADIANS(BP91))*COS(RADIANS(BR91-Insolation!$L$6))*SIN(RADIANS(Insolation!$L$7))+SIN(RADIANS(BP91))*COS(RADIANS(Insolation!$L$7))</f>
        <v>0.91288038137384264</v>
      </c>
      <c r="BZ91" s="40">
        <f t="shared" si="188"/>
        <v>556.67651017969251</v>
      </c>
      <c r="CA91" s="40">
        <f t="shared" si="189"/>
        <v>81.587309453140222</v>
      </c>
      <c r="CB91" s="40">
        <f t="shared" si="190"/>
        <v>816.49478634306115</v>
      </c>
      <c r="CC91" s="40">
        <f>$BN$91*BW91*((1+COS(RADIANS(Insolation!$L$7)))/2)</f>
        <v>74.451202508787901</v>
      </c>
      <c r="CD91" s="40">
        <f t="shared" si="191"/>
        <v>881.89216517599311</v>
      </c>
      <c r="CE91" s="40">
        <f t="shared" si="192"/>
        <v>71.152254764760059</v>
      </c>
      <c r="CF91" s="40">
        <f t="shared" si="193"/>
        <v>894.41596402178607</v>
      </c>
      <c r="CG91" s="40">
        <f t="shared" si="194"/>
        <v>66.183261200666124</v>
      </c>
      <c r="CI91" s="41">
        <f>0.095+0.04*SIN(RADIANS(360/365*(CI81-100)))</f>
        <v>7.1488589908301078E-2</v>
      </c>
      <c r="CJ91" s="48">
        <v>11</v>
      </c>
      <c r="CK91" s="40">
        <f t="shared" si="195"/>
        <v>29.220156833243486</v>
      </c>
      <c r="CL91" s="181">
        <f t="shared" si="137"/>
        <v>15</v>
      </c>
      <c r="CM91" s="40">
        <f t="shared" si="196"/>
        <v>16.26908813899767</v>
      </c>
      <c r="CN91" s="40">
        <f t="shared" si="197"/>
        <v>16.26908813899767</v>
      </c>
      <c r="CO91" s="40">
        <f t="shared" si="198"/>
        <v>163.73091186100234</v>
      </c>
      <c r="CP91" s="40">
        <f>180-CN91-360</f>
        <v>-196.26908813899766</v>
      </c>
      <c r="CQ91" s="40">
        <f t="shared" si="200"/>
        <v>2.0484804626669151</v>
      </c>
      <c r="CR91" s="40">
        <f t="shared" si="201"/>
        <v>884.78543818356741</v>
      </c>
      <c r="CS91" s="41">
        <f>COS(RADIANS(CK91))*COS(RADIANS(CM91-Insolation!$L$6))*SIN(RADIANS(0))+(SIN(RADIANS(CK91))*COS(RADIANS(0)))</f>
        <v>0.4881667256411617</v>
      </c>
      <c r="CT91" s="41">
        <f>COS(RADIANS(CK91))*COS(RADIANS(CM91-Insolation!$L$6))*SIN(RADIANS(Insolation!$L$7))+SIN(RADIANS(CK91))*COS(RADIANS(Insolation!$L$7))</f>
        <v>0.85776305451030144</v>
      </c>
      <c r="CU91" s="40">
        <f t="shared" si="202"/>
        <v>431.9228102530526</v>
      </c>
      <c r="CV91" s="40">
        <f t="shared" si="203"/>
        <v>63.252063347141522</v>
      </c>
      <c r="CW91" s="40">
        <f t="shared" si="204"/>
        <v>758.93626004257226</v>
      </c>
      <c r="CX91" s="40">
        <f>$CI$91*CR91*((1+COS(RADIANS(Insolation!$L$7)))/2)</f>
        <v>57.719665091559925</v>
      </c>
      <c r="CY91" s="40">
        <f t="shared" si="205"/>
        <v>835.83512359902932</v>
      </c>
      <c r="CZ91" s="40">
        <f t="shared" si="206"/>
        <v>55.264177464775763</v>
      </c>
      <c r="DA91" s="40">
        <f t="shared" si="207"/>
        <v>884.78543818356741</v>
      </c>
      <c r="DB91" s="40">
        <f t="shared" si="208"/>
        <v>47.064808000681467</v>
      </c>
      <c r="DD91" s="41">
        <f>0.095+0.04*SIN(RADIANS(360/365*(DD81-100)))</f>
        <v>5.8575814796231349E-2</v>
      </c>
      <c r="DE91" s="48">
        <v>11</v>
      </c>
      <c r="DF91" s="40">
        <f t="shared" si="209"/>
        <v>25.138164230082491</v>
      </c>
      <c r="DG91" s="181">
        <f t="shared" si="138"/>
        <v>15</v>
      </c>
      <c r="DH91" s="40">
        <f t="shared" si="210"/>
        <v>15.219167135862778</v>
      </c>
      <c r="DI91" s="40">
        <f t="shared" si="211"/>
        <v>15.219167135862778</v>
      </c>
      <c r="DJ91" s="40">
        <f t="shared" si="212"/>
        <v>164.78083286413721</v>
      </c>
      <c r="DK91" s="40">
        <f>180-DI91-360</f>
        <v>-195.21916713586279</v>
      </c>
      <c r="DL91" s="40">
        <f t="shared" si="214"/>
        <v>2.3540349982150288</v>
      </c>
      <c r="DM91" s="40">
        <f t="shared" si="215"/>
        <v>881.4679546698776</v>
      </c>
      <c r="DN91" s="41">
        <f>COS(RADIANS(DF91))*COS(RADIANS(DH91-Insolation!$L$6))*SIN(RADIANS(0))+(SIN(RADIANS(DF91))*COS(RADIANS(0)))</f>
        <v>0.42480252025065907</v>
      </c>
      <c r="DO91" s="41">
        <f>COS(RADIANS(DF91))*COS(RADIANS(DH91-Insolation!$L$6))*SIN(RADIANS(Insolation!$L$7))+SIN(RADIANS(DF91))*COS(RADIANS(Insolation!$L$7))</f>
        <v>0.8259802522714057</v>
      </c>
      <c r="DP91" s="40">
        <f t="shared" si="216"/>
        <v>374.4498086639577</v>
      </c>
      <c r="DQ91" s="40">
        <f t="shared" si="217"/>
        <v>51.632703661555603</v>
      </c>
      <c r="DR91" s="40">
        <f t="shared" si="218"/>
        <v>728.0751235673855</v>
      </c>
      <c r="DS91" s="40">
        <f>$DD$91*DM91*((1+COS(RADIANS(Insolation!$L$7)))/2)</f>
        <v>47.116603086299648</v>
      </c>
      <c r="DT91" s="40">
        <f t="shared" si="219"/>
        <v>809.36657961237154</v>
      </c>
      <c r="DU91" s="40">
        <f t="shared" si="220"/>
        <v>45.143707503411669</v>
      </c>
      <c r="DV91" s="40">
        <f t="shared" si="221"/>
        <v>881.4679546698776</v>
      </c>
      <c r="DW91" s="40">
        <f t="shared" si="222"/>
        <v>36.783203152169932</v>
      </c>
    </row>
    <row r="92" spans="3:127" x14ac:dyDescent="0.15">
      <c r="C92" s="208"/>
      <c r="D92" s="48">
        <v>11.5</v>
      </c>
      <c r="E92" s="40">
        <f t="shared" si="139"/>
        <v>70.445363051669673</v>
      </c>
      <c r="F92" s="181">
        <f t="shared" si="133"/>
        <v>7.5</v>
      </c>
      <c r="G92" s="40">
        <f t="shared" si="140"/>
        <v>21.271920796820947</v>
      </c>
      <c r="H92" s="40">
        <f t="shared" si="141"/>
        <v>21.271920796820947</v>
      </c>
      <c r="I92" s="40">
        <f t="shared" si="142"/>
        <v>158.72807920317905</v>
      </c>
      <c r="J92" s="40">
        <f t="shared" ref="J92:J110" si="223">180-H92-360</f>
        <v>-201.27192079682095</v>
      </c>
      <c r="K92" s="40">
        <f t="shared" si="144"/>
        <v>1.0612075365066453</v>
      </c>
      <c r="L92" s="40">
        <f t="shared" si="145"/>
        <v>870.61254298919312</v>
      </c>
      <c r="M92" s="41">
        <f>COS(RADIANS(E92))*COS(RADIANS(G92-Insolation!$L$6))*SIN(RADIANS(0))+(SIN(RADIANS(E92))*COS(RADIANS(0)))</f>
        <v>0.94232274611605893</v>
      </c>
      <c r="N92" s="41">
        <f>COS(RADIANS(E92))*COS(RADIANS(G92-Insolation!$L$6))*SIN(RADIANS(Insolation!$L$7))+SIN(RADIANS(E92))*COS(RADIANS(Insolation!$L$7))</f>
        <v>0.94494857604450933</v>
      </c>
      <c r="O92" s="40">
        <f t="shared" si="146"/>
        <v>820.3980023126619</v>
      </c>
      <c r="P92" s="40">
        <f t="shared" si="147"/>
        <v>117.41634122193393</v>
      </c>
      <c r="Q92" s="40">
        <f t="shared" si="148"/>
        <v>822.68408278412721</v>
      </c>
      <c r="R92" s="40">
        <f>$C$91*L92*((1+COS(RADIANS(Insolation!$L$7)))/2)</f>
        <v>107.14641598980539</v>
      </c>
      <c r="S92" s="40">
        <f t="shared" si="149"/>
        <v>809.93662335644422</v>
      </c>
      <c r="T92" s="40">
        <f t="shared" si="150"/>
        <v>102.96737196260383</v>
      </c>
      <c r="U92" s="40">
        <f t="shared" si="151"/>
        <v>870.61254298919312</v>
      </c>
      <c r="V92" s="40">
        <f t="shared" si="152"/>
        <v>114.03021516054346</v>
      </c>
      <c r="X92" s="208"/>
      <c r="Y92" s="48">
        <v>11.5</v>
      </c>
      <c r="Z92" s="40">
        <f t="shared" si="153"/>
        <v>62.969760424661459</v>
      </c>
      <c r="AA92" s="181">
        <f t="shared" si="134"/>
        <v>7.5</v>
      </c>
      <c r="AB92" s="40">
        <f t="shared" si="154"/>
        <v>16.196966591410312</v>
      </c>
      <c r="AC92" s="40">
        <f t="shared" si="155"/>
        <v>16.196966591410312</v>
      </c>
      <c r="AD92" s="40">
        <f t="shared" si="156"/>
        <v>163.8030334085897</v>
      </c>
      <c r="AE92" s="40">
        <f t="shared" ref="AE92:AE110" si="224">180-AC92-360</f>
        <v>-196.1969665914103</v>
      </c>
      <c r="AF92" s="40">
        <f t="shared" si="158"/>
        <v>1.1226282882786223</v>
      </c>
      <c r="AG92" s="40">
        <f t="shared" si="159"/>
        <v>880.10256328314881</v>
      </c>
      <c r="AH92" s="41">
        <f>COS(RADIANS(Z92))*COS(RADIANS(AB92-Insolation!$L$6))*SIN(RADIANS(0))+(SIN(RADIANS(Z92))*COS(RADIANS(0)))</f>
        <v>0.89076679292782301</v>
      </c>
      <c r="AI92" s="41">
        <f>COS(RADIANS(Z92))*COS(RADIANS(AB92-Insolation!$L$6))*SIN(RADIANS(Insolation!$L$7))+SIN(RADIANS(Z92))*COS(RADIANS(Insolation!$L$7))</f>
        <v>0.9719924636976397</v>
      </c>
      <c r="AJ92" s="40">
        <f t="shared" si="160"/>
        <v>783.96613774328682</v>
      </c>
      <c r="AK92" s="40">
        <f t="shared" si="161"/>
        <v>112.35523279573027</v>
      </c>
      <c r="AL92" s="40">
        <f t="shared" si="162"/>
        <v>855.45305879219563</v>
      </c>
      <c r="AM92" s="40">
        <f>$X$91*AG92*((1+COS(RADIANS(Insolation!$L$7)))/2)</f>
        <v>102.52798193573673</v>
      </c>
      <c r="AN92" s="40">
        <f t="shared" si="163"/>
        <v>854.75795539164562</v>
      </c>
      <c r="AO92" s="40">
        <f t="shared" si="164"/>
        <v>98.694949390212031</v>
      </c>
      <c r="AP92" s="40">
        <f t="shared" si="165"/>
        <v>880.10256328314881</v>
      </c>
      <c r="AQ92" s="40">
        <f t="shared" si="166"/>
        <v>106.21877159092095</v>
      </c>
      <c r="AS92" s="208"/>
      <c r="AT92" s="48">
        <v>11.5</v>
      </c>
      <c r="AU92" s="40">
        <f t="shared" si="167"/>
        <v>51.608620941736845</v>
      </c>
      <c r="AV92" s="181">
        <f t="shared" si="135"/>
        <v>7.5</v>
      </c>
      <c r="AW92" s="40">
        <f t="shared" si="168"/>
        <v>12.123506440688072</v>
      </c>
      <c r="AX92" s="40">
        <f t="shared" si="169"/>
        <v>12.123506440688072</v>
      </c>
      <c r="AY92" s="40">
        <f t="shared" si="170"/>
        <v>167.87649355931194</v>
      </c>
      <c r="AZ92" s="40">
        <f t="shared" ref="AZ92:AZ110" si="225">180-AX92-360</f>
        <v>-192.12350644068806</v>
      </c>
      <c r="BA92" s="40">
        <f t="shared" si="172"/>
        <v>1.275856982138188</v>
      </c>
      <c r="BB92" s="40">
        <f t="shared" si="173"/>
        <v>895.21898088392891</v>
      </c>
      <c r="BC92" s="41">
        <f>COS(RADIANS(AU92))*COS(RADIANS(AW92-Insolation!$L$6))*SIN(RADIANS(0))+(SIN(RADIANS(AU92))*COS(RADIANS(0)))</f>
        <v>0.78378690872084755</v>
      </c>
      <c r="BD92" s="41">
        <f>COS(RADIANS(AU92))*COS(RADIANS(AW92-Insolation!$L$6))*SIN(RADIANS(Insolation!$L$7))+SIN(RADIANS(AU92))*COS(RADIANS(Insolation!$L$7))</f>
        <v>0.97937507601349638</v>
      </c>
      <c r="BE92" s="40">
        <f t="shared" si="174"/>
        <v>701.6609176552422</v>
      </c>
      <c r="BF92" s="40">
        <f t="shared" si="175"/>
        <v>99.704332154760621</v>
      </c>
      <c r="BG92" s="40">
        <f t="shared" si="176"/>
        <v>876.75515745192263</v>
      </c>
      <c r="BH92" s="40">
        <f>$AS$91*BB92*((1+COS(RADIANS(Insolation!$L$7)))/2)</f>
        <v>90.983603626750408</v>
      </c>
      <c r="BI92" s="40">
        <f t="shared" si="177"/>
        <v>894.54896226978008</v>
      </c>
      <c r="BJ92" s="40">
        <f t="shared" si="178"/>
        <v>87.698804639375666</v>
      </c>
      <c r="BK92" s="40">
        <f t="shared" si="179"/>
        <v>895.21898088392891</v>
      </c>
      <c r="BL92" s="40">
        <f t="shared" si="180"/>
        <v>88.925641220208519</v>
      </c>
      <c r="BN92" s="208"/>
      <c r="BO92" s="48">
        <v>11.5</v>
      </c>
      <c r="BP92" s="40">
        <f t="shared" si="181"/>
        <v>39.916165975510303</v>
      </c>
      <c r="BQ92" s="181">
        <f t="shared" si="136"/>
        <v>7.5</v>
      </c>
      <c r="BR92" s="40">
        <f t="shared" si="182"/>
        <v>9.659824816460862</v>
      </c>
      <c r="BS92" s="40">
        <f t="shared" si="183"/>
        <v>9.659824816460862</v>
      </c>
      <c r="BT92" s="40">
        <f t="shared" si="184"/>
        <v>170.34017518353915</v>
      </c>
      <c r="BU92" s="40">
        <f t="shared" ref="BU92:BU110" si="226">180-BS92-360</f>
        <v>-189.65982481646085</v>
      </c>
      <c r="BV92" s="40">
        <f t="shared" si="186"/>
        <v>1.5584430287273172</v>
      </c>
      <c r="BW92" s="40">
        <f t="shared" si="187"/>
        <v>901.81478596795625</v>
      </c>
      <c r="BX92" s="41">
        <f>COS(RADIANS(BP92))*COS(RADIANS(BR92-Insolation!$L$6))*SIN(RADIANS(0))+(SIN(RADIANS(BP92))*COS(RADIANS(0)))</f>
        <v>0.64166606129749726</v>
      </c>
      <c r="BY92" s="41">
        <f>COS(RADIANS(BP92))*COS(RADIANS(BR92-Insolation!$L$6))*SIN(RADIANS(Insolation!$L$7))+SIN(RADIANS(BP92))*COS(RADIANS(Insolation!$L$7))</f>
        <v>0.94584876276126506</v>
      </c>
      <c r="BZ92" s="40">
        <f t="shared" si="188"/>
        <v>578.66394173190395</v>
      </c>
      <c r="CA92" s="40">
        <f t="shared" si="189"/>
        <v>82.262219114855711</v>
      </c>
      <c r="CB92" s="40">
        <f t="shared" si="190"/>
        <v>852.98039954760645</v>
      </c>
      <c r="CC92" s="40">
        <f>$BN$91*BW92*((1+COS(RADIANS(Insolation!$L$7)))/2)</f>
        <v>75.067080593704745</v>
      </c>
      <c r="CD92" s="40">
        <f t="shared" si="191"/>
        <v>889.18738727435527</v>
      </c>
      <c r="CE92" s="40">
        <f t="shared" si="192"/>
        <v>72.414705384243106</v>
      </c>
      <c r="CF92" s="40">
        <f t="shared" si="193"/>
        <v>901.81478596795625</v>
      </c>
      <c r="CG92" s="40">
        <f t="shared" si="194"/>
        <v>67.523546623938429</v>
      </c>
      <c r="CI92" s="208"/>
      <c r="CJ92" s="48">
        <v>11.5</v>
      </c>
      <c r="CK92" s="40">
        <f t="shared" si="195"/>
        <v>30.439875649472558</v>
      </c>
      <c r="CL92" s="181">
        <f t="shared" si="137"/>
        <v>7.5</v>
      </c>
      <c r="CM92" s="40">
        <f t="shared" si="196"/>
        <v>8.2225438073183259</v>
      </c>
      <c r="CN92" s="40">
        <f t="shared" si="197"/>
        <v>8.2225438073183259</v>
      </c>
      <c r="CO92" s="40">
        <f t="shared" si="198"/>
        <v>171.77745619268168</v>
      </c>
      <c r="CP92" s="40">
        <f t="shared" ref="CP92:CP110" si="227">180-CN92-360</f>
        <v>-188.22254380731832</v>
      </c>
      <c r="CQ92" s="40">
        <f t="shared" si="200"/>
        <v>1.9738117899818632</v>
      </c>
      <c r="CR92" s="40">
        <f t="shared" si="201"/>
        <v>894.98002703986242</v>
      </c>
      <c r="CS92" s="41">
        <f>COS(RADIANS(CK92))*COS(RADIANS(CM92-Insolation!$L$6))*SIN(RADIANS(0))+(SIN(RADIANS(CK92))*COS(RADIANS(0)))</f>
        <v>0.5066339177197785</v>
      </c>
      <c r="CT92" s="41">
        <f>COS(RADIANS(CK92))*COS(RADIANS(CM92-Insolation!$L$6))*SIN(RADIANS(Insolation!$L$7))+SIN(RADIANS(CK92))*COS(RADIANS(Insolation!$L$7))</f>
        <v>0.88934976022477885</v>
      </c>
      <c r="CU92" s="40">
        <f t="shared" si="202"/>
        <v>453.42723738015877</v>
      </c>
      <c r="CV92" s="40">
        <f t="shared" si="203"/>
        <v>63.980860129172932</v>
      </c>
      <c r="CW92" s="40">
        <f t="shared" si="204"/>
        <v>795.95027245386768</v>
      </c>
      <c r="CX92" s="40">
        <f>$CI$91*CR92*((1+COS(RADIANS(Insolation!$L$7)))/2)</f>
        <v>58.384717011649741</v>
      </c>
      <c r="CY92" s="40">
        <f t="shared" si="205"/>
        <v>845.46570189407441</v>
      </c>
      <c r="CZ92" s="40">
        <f t="shared" si="206"/>
        <v>56.347913919027604</v>
      </c>
      <c r="DA92" s="40">
        <f t="shared" si="207"/>
        <v>894.98002703986242</v>
      </c>
      <c r="DB92" s="40">
        <f t="shared" si="208"/>
        <v>48.197866977748497</v>
      </c>
      <c r="DD92" s="208"/>
      <c r="DE92" s="48">
        <v>11.5</v>
      </c>
      <c r="DF92" s="40">
        <f t="shared" si="209"/>
        <v>26.279615275313127</v>
      </c>
      <c r="DG92" s="181">
        <f t="shared" si="138"/>
        <v>7.5</v>
      </c>
      <c r="DH92" s="40">
        <f t="shared" si="210"/>
        <v>7.6814064404502487</v>
      </c>
      <c r="DI92" s="40">
        <f t="shared" si="211"/>
        <v>7.6814064404502487</v>
      </c>
      <c r="DJ92" s="40">
        <f t="shared" si="212"/>
        <v>172.31859355954975</v>
      </c>
      <c r="DK92" s="40">
        <f t="shared" ref="DK92:DK110" si="228">180-DI92-360</f>
        <v>-187.68140644045025</v>
      </c>
      <c r="DL92" s="40">
        <f t="shared" si="214"/>
        <v>2.2585996786492299</v>
      </c>
      <c r="DM92" s="40">
        <f t="shared" si="215"/>
        <v>893.50574027737468</v>
      </c>
      <c r="DN92" s="41">
        <f>COS(RADIANS(DF92))*COS(RADIANS(DH92-Insolation!$L$6))*SIN(RADIANS(0))+(SIN(RADIANS(DF92))*COS(RADIANS(0)))</f>
        <v>0.44275221034214279</v>
      </c>
      <c r="DO92" s="41">
        <f>COS(RADIANS(DF92))*COS(RADIANS(DH92-Insolation!$L$6))*SIN(RADIANS(Insolation!$L$7))+SIN(RADIANS(DF92))*COS(RADIANS(Insolation!$L$7))</f>
        <v>0.85668181080678607</v>
      </c>
      <c r="DP92" s="40">
        <f t="shared" si="216"/>
        <v>395.60164146120019</v>
      </c>
      <c r="DQ92" s="40">
        <f t="shared" si="217"/>
        <v>52.337826761857087</v>
      </c>
      <c r="DR92" s="40">
        <f t="shared" si="218"/>
        <v>765.45011554707924</v>
      </c>
      <c r="DS92" s="40">
        <f>$DD$91*DM92*((1+COS(RADIANS(Insolation!$L$7)))/2)</f>
        <v>47.760051964391678</v>
      </c>
      <c r="DT92" s="40">
        <f t="shared" si="219"/>
        <v>820.41971127941645</v>
      </c>
      <c r="DU92" s="40">
        <f t="shared" si="220"/>
        <v>46.101934095989108</v>
      </c>
      <c r="DV92" s="40">
        <f t="shared" si="221"/>
        <v>893.50574027737468</v>
      </c>
      <c r="DW92" s="40">
        <f t="shared" si="222"/>
        <v>37.755257622586733</v>
      </c>
    </row>
    <row r="93" spans="3:127" x14ac:dyDescent="0.15">
      <c r="C93" s="48"/>
      <c r="D93" s="48">
        <v>12</v>
      </c>
      <c r="E93" s="40">
        <f t="shared" si="139"/>
        <v>71.517336031092782</v>
      </c>
      <c r="F93" s="181">
        <f t="shared" si="133"/>
        <v>0</v>
      </c>
      <c r="G93" s="40">
        <f t="shared" si="140"/>
        <v>0</v>
      </c>
      <c r="H93" s="40">
        <f t="shared" si="141"/>
        <v>0</v>
      </c>
      <c r="I93" s="40">
        <f t="shared" si="142"/>
        <v>180</v>
      </c>
      <c r="J93" s="40">
        <f t="shared" si="223"/>
        <v>-180</v>
      </c>
      <c r="K93" s="40">
        <f t="shared" si="144"/>
        <v>1.0543856116474062</v>
      </c>
      <c r="L93" s="40">
        <f t="shared" si="145"/>
        <v>871.85403675692442</v>
      </c>
      <c r="M93" s="41">
        <f>COS(RADIANS(E93))*COS(RADIANS(G93-Insolation!$L$6))*SIN(RADIANS(0))+(SIN(RADIANS(E93))*COS(RADIANS(0)))</f>
        <v>0.94841961892629367</v>
      </c>
      <c r="N93" s="41">
        <f>COS(RADIANS(E93))*COS(RADIANS(G93-Insolation!$L$6))*SIN(RADIANS(Insolation!$L$7))+SIN(RADIANS(E93))*COS(RADIANS(Insolation!$L$7))</f>
        <v>0.96051540922893031</v>
      </c>
      <c r="O93" s="40">
        <f t="shared" si="146"/>
        <v>826.8834733003531</v>
      </c>
      <c r="P93" s="40">
        <f t="shared" si="147"/>
        <v>117.58377696247167</v>
      </c>
      <c r="Q93" s="40">
        <f t="shared" si="148"/>
        <v>837.42923690347209</v>
      </c>
      <c r="R93" s="40">
        <f>$C$91*L93*((1+COS(RADIANS(Insolation!$L$7)))/2)</f>
        <v>107.29920681364233</v>
      </c>
      <c r="S93" s="40">
        <f t="shared" si="149"/>
        <v>811.09159324316545</v>
      </c>
      <c r="T93" s="40">
        <f t="shared" si="150"/>
        <v>103.82908795275719</v>
      </c>
      <c r="U93" s="40">
        <f t="shared" si="151"/>
        <v>871.85403675692442</v>
      </c>
      <c r="V93" s="40">
        <f t="shared" si="152"/>
        <v>114.55126895056668</v>
      </c>
      <c r="X93" s="48"/>
      <c r="Y93" s="48">
        <v>12</v>
      </c>
      <c r="Z93" s="40">
        <f t="shared" si="153"/>
        <v>63.783564166258479</v>
      </c>
      <c r="AA93" s="181">
        <f t="shared" si="134"/>
        <v>0</v>
      </c>
      <c r="AB93" s="40">
        <f t="shared" si="154"/>
        <v>0</v>
      </c>
      <c r="AC93" s="40">
        <f t="shared" si="155"/>
        <v>0</v>
      </c>
      <c r="AD93" s="40">
        <f t="shared" si="156"/>
        <v>180</v>
      </c>
      <c r="AE93" s="40">
        <f t="shared" si="224"/>
        <v>-180</v>
      </c>
      <c r="AF93" s="40">
        <f t="shared" si="158"/>
        <v>1.1146635653836263</v>
      </c>
      <c r="AG93" s="40">
        <f t="shared" si="159"/>
        <v>881.52374113164149</v>
      </c>
      <c r="AH93" s="41">
        <f>COS(RADIANS(Z93))*COS(RADIANS(AB93-Insolation!$L$6))*SIN(RADIANS(0))+(SIN(RADIANS(Z93))*COS(RADIANS(0)))</f>
        <v>0.89713168264886867</v>
      </c>
      <c r="AI93" s="41">
        <f>COS(RADIANS(Z93))*COS(RADIANS(AB93-Insolation!$L$6))*SIN(RADIANS(Insolation!$L$7))+SIN(RADIANS(Z93))*COS(RADIANS(Insolation!$L$7))</f>
        <v>0.98824361073787748</v>
      </c>
      <c r="AJ93" s="40">
        <f t="shared" si="160"/>
        <v>790.84287717635527</v>
      </c>
      <c r="AK93" s="40">
        <f t="shared" si="161"/>
        <v>112.53666252298373</v>
      </c>
      <c r="AL93" s="40">
        <f t="shared" si="162"/>
        <v>871.16020488709535</v>
      </c>
      <c r="AM93" s="40">
        <f>$X$91*AG93*((1+COS(RADIANS(Insolation!$L$7)))/2)</f>
        <v>102.69354274973341</v>
      </c>
      <c r="AN93" s="40">
        <f t="shared" si="163"/>
        <v>856.13820710627976</v>
      </c>
      <c r="AO93" s="40">
        <f t="shared" si="164"/>
        <v>99.372373747935583</v>
      </c>
      <c r="AP93" s="40">
        <f t="shared" si="165"/>
        <v>881.52374113164149</v>
      </c>
      <c r="AQ93" s="40">
        <f t="shared" si="166"/>
        <v>106.748433965958</v>
      </c>
      <c r="AS93" s="48"/>
      <c r="AT93" s="48">
        <v>12</v>
      </c>
      <c r="AU93" s="40">
        <f t="shared" si="167"/>
        <v>52.21688678321334</v>
      </c>
      <c r="AV93" s="181">
        <f t="shared" si="135"/>
        <v>0</v>
      </c>
      <c r="AW93" s="40">
        <f t="shared" si="168"/>
        <v>0</v>
      </c>
      <c r="AX93" s="40">
        <f t="shared" si="169"/>
        <v>0</v>
      </c>
      <c r="AY93" s="40">
        <f t="shared" si="170"/>
        <v>180</v>
      </c>
      <c r="AZ93" s="40">
        <f t="shared" si="225"/>
        <v>-180</v>
      </c>
      <c r="BA93" s="40">
        <f t="shared" si="172"/>
        <v>1.2652852465833651</v>
      </c>
      <c r="BB93" s="40">
        <f t="shared" si="173"/>
        <v>897.00309084951857</v>
      </c>
      <c r="BC93" s="41">
        <f>COS(RADIANS(AU93))*COS(RADIANS(AW93-Insolation!$L$6))*SIN(RADIANS(0))+(SIN(RADIANS(AU93))*COS(RADIANS(0)))</f>
        <v>0.79033562013015501</v>
      </c>
      <c r="BD93" s="41">
        <f>COS(RADIANS(AU93))*COS(RADIANS(AW93-Insolation!$L$6))*SIN(RADIANS(Insolation!$L$7))+SIN(RADIANS(AU93))*COS(RADIANS(Insolation!$L$7))</f>
        <v>0.99609556555864021</v>
      </c>
      <c r="BE93" s="40">
        <f t="shared" si="174"/>
        <v>708.93349406522009</v>
      </c>
      <c r="BF93" s="40">
        <f t="shared" si="175"/>
        <v>99.903036043315495</v>
      </c>
      <c r="BG93" s="40">
        <f t="shared" si="176"/>
        <v>893.50080108759948</v>
      </c>
      <c r="BH93" s="40">
        <f>$AS$91*BB93*((1+COS(RADIANS(Insolation!$L$7)))/2)</f>
        <v>91.16492770209058</v>
      </c>
      <c r="BI93" s="40">
        <f t="shared" si="177"/>
        <v>896.33173693427341</v>
      </c>
      <c r="BJ93" s="40">
        <f t="shared" si="178"/>
        <v>88.21660082750617</v>
      </c>
      <c r="BK93" s="40">
        <f t="shared" si="179"/>
        <v>897.00309084951857</v>
      </c>
      <c r="BL93" s="40">
        <f t="shared" si="180"/>
        <v>89.429981993747234</v>
      </c>
      <c r="BN93" s="48"/>
      <c r="BO93" s="48">
        <v>12</v>
      </c>
      <c r="BP93" s="40">
        <f t="shared" si="181"/>
        <v>40.400602765773677</v>
      </c>
      <c r="BQ93" s="181">
        <f t="shared" si="136"/>
        <v>0</v>
      </c>
      <c r="BR93" s="40">
        <f t="shared" si="182"/>
        <v>0</v>
      </c>
      <c r="BS93" s="40">
        <f t="shared" si="183"/>
        <v>0</v>
      </c>
      <c r="BT93" s="40">
        <f t="shared" si="184"/>
        <v>180</v>
      </c>
      <c r="BU93" s="40">
        <f t="shared" si="226"/>
        <v>-180</v>
      </c>
      <c r="BV93" s="40">
        <f t="shared" si="186"/>
        <v>1.5429053132282828</v>
      </c>
      <c r="BW93" s="40">
        <f t="shared" si="187"/>
        <v>904.20970986781549</v>
      </c>
      <c r="BX93" s="41">
        <f>COS(RADIANS(BP93))*COS(RADIANS(BR93-Insolation!$L$6))*SIN(RADIANS(0))+(SIN(RADIANS(BP93))*COS(RADIANS(0)))</f>
        <v>0.64812791259864144</v>
      </c>
      <c r="BY93" s="41">
        <f>COS(RADIANS(BP93))*COS(RADIANS(BR93-Insolation!$L$6))*SIN(RADIANS(Insolation!$L$7))+SIN(RADIANS(BP93))*COS(RADIANS(Insolation!$L$7))</f>
        <v>0.96234747683950261</v>
      </c>
      <c r="BZ93" s="40">
        <f t="shared" si="188"/>
        <v>586.04355180805044</v>
      </c>
      <c r="CA93" s="40">
        <f t="shared" si="189"/>
        <v>82.480680552480251</v>
      </c>
      <c r="CB93" s="40">
        <f t="shared" si="190"/>
        <v>870.1639328250709</v>
      </c>
      <c r="CC93" s="40">
        <f>$BN$91*BW93*((1+COS(RADIANS(Insolation!$L$7)))/2)</f>
        <v>75.266434106425834</v>
      </c>
      <c r="CD93" s="40">
        <f t="shared" si="191"/>
        <v>891.54877695034179</v>
      </c>
      <c r="CE93" s="40">
        <f t="shared" si="192"/>
        <v>72.832273777189641</v>
      </c>
      <c r="CF93" s="40">
        <f t="shared" si="193"/>
        <v>904.20970986781549</v>
      </c>
      <c r="CG93" s="40">
        <f t="shared" si="194"/>
        <v>67.969355934337315</v>
      </c>
      <c r="CI93" s="48"/>
      <c r="CJ93" s="48">
        <v>12</v>
      </c>
      <c r="CK93" s="40">
        <f t="shared" si="195"/>
        <v>30.852182693593271</v>
      </c>
      <c r="CL93" s="181">
        <f t="shared" si="137"/>
        <v>0</v>
      </c>
      <c r="CM93" s="40">
        <f t="shared" si="196"/>
        <v>0</v>
      </c>
      <c r="CN93" s="40">
        <f t="shared" si="197"/>
        <v>0</v>
      </c>
      <c r="CO93" s="40">
        <f t="shared" si="198"/>
        <v>180</v>
      </c>
      <c r="CP93" s="40">
        <f t="shared" si="227"/>
        <v>-180</v>
      </c>
      <c r="CQ93" s="40">
        <f t="shared" si="200"/>
        <v>1.9499830952435548</v>
      </c>
      <c r="CR93" s="40">
        <f t="shared" si="201"/>
        <v>898.25804235830321</v>
      </c>
      <c r="CS93" s="41">
        <f>COS(RADIANS(CK93))*COS(RADIANS(CM93-Insolation!$L$6))*SIN(RADIANS(0))+(SIN(RADIANS(CK93))*COS(RADIANS(0)))</f>
        <v>0.51282495855437094</v>
      </c>
      <c r="CT93" s="41">
        <f>COS(RADIANS(CK93))*COS(RADIANS(CM93-Insolation!$L$6))*SIN(RADIANS(Insolation!$L$7))+SIN(RADIANS(CK93))*COS(RADIANS(Insolation!$L$7))</f>
        <v>0.90515702780435747</v>
      </c>
      <c r="CU93" s="40">
        <f t="shared" si="202"/>
        <v>460.64914334352721</v>
      </c>
      <c r="CV93" s="40">
        <f t="shared" si="203"/>
        <v>64.215200821986073</v>
      </c>
      <c r="CW93" s="40">
        <f t="shared" si="204"/>
        <v>813.06457982240238</v>
      </c>
      <c r="CX93" s="40">
        <f>$CI$91*CR93*((1+COS(RADIANS(Insolation!$L$7)))/2)</f>
        <v>58.598560886311425</v>
      </c>
      <c r="CY93" s="40">
        <f t="shared" si="205"/>
        <v>848.56236264436131</v>
      </c>
      <c r="CZ93" s="40">
        <f t="shared" si="206"/>
        <v>56.703449287718861</v>
      </c>
      <c r="DA93" s="40">
        <f t="shared" si="207"/>
        <v>898.25804235830321</v>
      </c>
      <c r="DB93" s="40">
        <f t="shared" si="208"/>
        <v>48.573179261040849</v>
      </c>
      <c r="DD93" s="48"/>
      <c r="DE93" s="48">
        <v>12</v>
      </c>
      <c r="DF93" s="40">
        <f t="shared" si="209"/>
        <v>26.664780454688653</v>
      </c>
      <c r="DG93" s="181">
        <f t="shared" si="138"/>
        <v>0</v>
      </c>
      <c r="DH93" s="40">
        <f t="shared" si="210"/>
        <v>0</v>
      </c>
      <c r="DI93" s="40">
        <f t="shared" si="211"/>
        <v>0</v>
      </c>
      <c r="DJ93" s="40">
        <f t="shared" si="212"/>
        <v>180</v>
      </c>
      <c r="DK93" s="40">
        <f t="shared" si="228"/>
        <v>-180</v>
      </c>
      <c r="DL93" s="40">
        <f t="shared" si="214"/>
        <v>2.2283141308660843</v>
      </c>
      <c r="DM93" s="40">
        <f t="shared" si="215"/>
        <v>897.36008025979777</v>
      </c>
      <c r="DN93" s="41">
        <f>COS(RADIANS(DF93))*COS(RADIANS(DH93-Insolation!$L$6))*SIN(RADIANS(0))+(SIN(RADIANS(DF93))*COS(RADIANS(0)))</f>
        <v>0.44876976102616539</v>
      </c>
      <c r="DO93" s="41">
        <f>COS(RADIANS(DF93))*COS(RADIANS(DH93-Insolation!$L$6))*SIN(RADIANS(Insolation!$L$7))+SIN(RADIANS(DF93))*COS(RADIANS(Insolation!$L$7))</f>
        <v>0.87204611486766903</v>
      </c>
      <c r="DP93" s="40">
        <f t="shared" si="216"/>
        <v>402.70806877261003</v>
      </c>
      <c r="DQ93" s="40">
        <f t="shared" si="217"/>
        <v>52.563597866829213</v>
      </c>
      <c r="DR93" s="40">
        <f t="shared" si="218"/>
        <v>782.53937162789634</v>
      </c>
      <c r="DS93" s="40">
        <f>$DD$91*DM93*((1+COS(RADIANS(Insolation!$L$7)))/2)</f>
        <v>47.966075797872378</v>
      </c>
      <c r="DT93" s="40">
        <f t="shared" si="219"/>
        <v>823.95877807329134</v>
      </c>
      <c r="DU93" s="40">
        <f t="shared" si="220"/>
        <v>46.414824961527152</v>
      </c>
      <c r="DV93" s="40">
        <f t="shared" si="221"/>
        <v>897.36008025979777</v>
      </c>
      <c r="DW93" s="40">
        <f t="shared" si="222"/>
        <v>38.076275560100811</v>
      </c>
    </row>
    <row r="94" spans="3:127" x14ac:dyDescent="0.15">
      <c r="D94" s="48">
        <v>12.5</v>
      </c>
      <c r="E94" s="40">
        <f t="shared" si="139"/>
        <v>70.445363051669673</v>
      </c>
      <c r="F94" s="181">
        <f t="shared" si="133"/>
        <v>-7.5</v>
      </c>
      <c r="G94" s="40">
        <f t="shared" si="140"/>
        <v>-21.271920796820947</v>
      </c>
      <c r="H94" s="40">
        <f t="shared" si="141"/>
        <v>-21.271920796820947</v>
      </c>
      <c r="I94" s="40">
        <f t="shared" si="142"/>
        <v>201.27192079682095</v>
      </c>
      <c r="J94" s="40">
        <f t="shared" si="223"/>
        <v>-158.72807920317905</v>
      </c>
      <c r="K94" s="40">
        <f t="shared" si="144"/>
        <v>1.0612075365066453</v>
      </c>
      <c r="L94" s="40">
        <f t="shared" si="145"/>
        <v>870.61254298919312</v>
      </c>
      <c r="M94" s="41">
        <f>COS(RADIANS(E94))*COS(RADIANS(G94-Insolation!$L$6))*SIN(RADIANS(0))+(SIN(RADIANS(E94))*COS(RADIANS(0)))</f>
        <v>0.94232274611605893</v>
      </c>
      <c r="N94" s="41">
        <f>COS(RADIANS(E94))*COS(RADIANS(G94-Insolation!$L$6))*SIN(RADIANS(Insolation!$L$7))+SIN(RADIANS(E94))*COS(RADIANS(Insolation!$L$7))</f>
        <v>0.96027646254572141</v>
      </c>
      <c r="O94" s="40">
        <f t="shared" si="146"/>
        <v>820.3980023126619</v>
      </c>
      <c r="P94" s="40">
        <f t="shared" si="147"/>
        <v>117.41634122193393</v>
      </c>
      <c r="Q94" s="40">
        <f t="shared" si="148"/>
        <v>836.02873302959722</v>
      </c>
      <c r="R94" s="40">
        <f>$C$91*L94*((1+COS(RADIANS(Insolation!$L$7)))/2)</f>
        <v>107.14641598980539</v>
      </c>
      <c r="S94" s="40">
        <f t="shared" si="149"/>
        <v>809.93662335644422</v>
      </c>
      <c r="T94" s="40">
        <f t="shared" si="150"/>
        <v>102.96737196260383</v>
      </c>
      <c r="U94" s="40">
        <f t="shared" si="151"/>
        <v>870.61254298919312</v>
      </c>
      <c r="V94" s="40">
        <f t="shared" si="152"/>
        <v>114.03021516054346</v>
      </c>
      <c r="Y94" s="48">
        <v>12.5</v>
      </c>
      <c r="Z94" s="40">
        <f t="shared" si="153"/>
        <v>62.969760424661459</v>
      </c>
      <c r="AA94" s="181">
        <f t="shared" si="134"/>
        <v>-7.5</v>
      </c>
      <c r="AB94" s="40">
        <f t="shared" si="154"/>
        <v>-16.196966591410312</v>
      </c>
      <c r="AC94" s="40">
        <f t="shared" si="155"/>
        <v>-16.196966591410312</v>
      </c>
      <c r="AD94" s="40">
        <f t="shared" si="156"/>
        <v>196.1969665914103</v>
      </c>
      <c r="AE94" s="40">
        <f t="shared" si="224"/>
        <v>-163.8030334085897</v>
      </c>
      <c r="AF94" s="40">
        <f t="shared" si="158"/>
        <v>1.1226282882786223</v>
      </c>
      <c r="AG94" s="40">
        <f t="shared" si="159"/>
        <v>880.10256328314881</v>
      </c>
      <c r="AH94" s="41">
        <f>COS(RADIANS(Z94))*COS(RADIANS(AB94-Insolation!$L$6))*SIN(RADIANS(0))+(SIN(RADIANS(Z94))*COS(RADIANS(0)))</f>
        <v>0.89076679292782301</v>
      </c>
      <c r="AI94" s="41">
        <f>COS(RADIANS(Z94))*COS(RADIANS(AB94-Insolation!$L$6))*SIN(RADIANS(Insolation!$L$7))+SIN(RADIANS(Z94))*COS(RADIANS(Insolation!$L$7))</f>
        <v>0.98799416002188378</v>
      </c>
      <c r="AJ94" s="40">
        <f t="shared" si="160"/>
        <v>783.96613774328682</v>
      </c>
      <c r="AK94" s="40">
        <f t="shared" si="161"/>
        <v>112.35523279573027</v>
      </c>
      <c r="AL94" s="40">
        <f t="shared" si="162"/>
        <v>869.53619274404139</v>
      </c>
      <c r="AM94" s="40">
        <f>$X$91*AG94*((1+COS(RADIANS(Insolation!$L$7)))/2)</f>
        <v>102.52798193573673</v>
      </c>
      <c r="AN94" s="40">
        <f t="shared" si="163"/>
        <v>854.75795539164562</v>
      </c>
      <c r="AO94" s="40">
        <f t="shared" si="164"/>
        <v>98.694949390212031</v>
      </c>
      <c r="AP94" s="40">
        <f t="shared" si="165"/>
        <v>880.10256328314881</v>
      </c>
      <c r="AQ94" s="40">
        <f t="shared" si="166"/>
        <v>106.21877159092095</v>
      </c>
      <c r="AT94" s="48">
        <v>12.5</v>
      </c>
      <c r="AU94" s="40">
        <f t="shared" si="167"/>
        <v>51.608620941736845</v>
      </c>
      <c r="AV94" s="181">
        <f t="shared" si="135"/>
        <v>-7.5</v>
      </c>
      <c r="AW94" s="40">
        <f t="shared" si="168"/>
        <v>-12.12350644068807</v>
      </c>
      <c r="AX94" s="40">
        <f t="shared" si="169"/>
        <v>-12.12350644068807</v>
      </c>
      <c r="AY94" s="40">
        <f t="shared" si="170"/>
        <v>192.12350644068806</v>
      </c>
      <c r="AZ94" s="40">
        <f t="shared" si="225"/>
        <v>-167.87649355931194</v>
      </c>
      <c r="BA94" s="40">
        <f t="shared" si="172"/>
        <v>1.275856982138188</v>
      </c>
      <c r="BB94" s="40">
        <f t="shared" si="173"/>
        <v>895.21898088392891</v>
      </c>
      <c r="BC94" s="41">
        <f>COS(RADIANS(AU94))*COS(RADIANS(AW94-Insolation!$L$6))*SIN(RADIANS(0))+(SIN(RADIANS(AU94))*COS(RADIANS(0)))</f>
        <v>0.78378690872084755</v>
      </c>
      <c r="BD94" s="41">
        <f>COS(RADIANS(AU94))*COS(RADIANS(AW94-Insolation!$L$6))*SIN(RADIANS(Insolation!$L$7))+SIN(RADIANS(AU94))*COS(RADIANS(Insolation!$L$7))</f>
        <v>0.99583891056201312</v>
      </c>
      <c r="BE94" s="40">
        <f t="shared" si="174"/>
        <v>701.6609176552422</v>
      </c>
      <c r="BF94" s="40">
        <f t="shared" si="175"/>
        <v>99.704332154760621</v>
      </c>
      <c r="BG94" s="40">
        <f t="shared" si="176"/>
        <v>891.49389463788737</v>
      </c>
      <c r="BH94" s="40">
        <f>$AS$91*BB94*((1+COS(RADIANS(Insolation!$L$7)))/2)</f>
        <v>90.983603626750408</v>
      </c>
      <c r="BI94" s="40">
        <f t="shared" si="177"/>
        <v>894.54896226978008</v>
      </c>
      <c r="BJ94" s="40">
        <f t="shared" si="178"/>
        <v>87.698804639375666</v>
      </c>
      <c r="BK94" s="40">
        <f t="shared" si="179"/>
        <v>895.21898088392891</v>
      </c>
      <c r="BL94" s="40">
        <f t="shared" si="180"/>
        <v>88.925641220208519</v>
      </c>
      <c r="BO94" s="48">
        <v>12.5</v>
      </c>
      <c r="BP94" s="40">
        <f t="shared" si="181"/>
        <v>39.916165975510303</v>
      </c>
      <c r="BQ94" s="181">
        <f t="shared" si="136"/>
        <v>-7.5</v>
      </c>
      <c r="BR94" s="40">
        <f t="shared" si="182"/>
        <v>-9.659824816460862</v>
      </c>
      <c r="BS94" s="40">
        <f t="shared" si="183"/>
        <v>-9.659824816460862</v>
      </c>
      <c r="BT94" s="40">
        <f t="shared" si="184"/>
        <v>189.65982481646085</v>
      </c>
      <c r="BU94" s="40">
        <f t="shared" si="226"/>
        <v>-170.34017518353915</v>
      </c>
      <c r="BV94" s="40">
        <f t="shared" si="186"/>
        <v>1.5584430287273172</v>
      </c>
      <c r="BW94" s="40">
        <f t="shared" si="187"/>
        <v>901.81478596795625</v>
      </c>
      <c r="BX94" s="41">
        <f>COS(RADIANS(BP94))*COS(RADIANS(BR94-Insolation!$L$6))*SIN(RADIANS(0))+(SIN(RADIANS(BP94))*COS(RADIANS(0)))</f>
        <v>0.64166606129749726</v>
      </c>
      <c r="BY94" s="41">
        <f>COS(RADIANS(BP94))*COS(RADIANS(BR94-Insolation!$L$6))*SIN(RADIANS(Insolation!$L$7))+SIN(RADIANS(BP94))*COS(RADIANS(Insolation!$L$7))</f>
        <v>0.96209422603636852</v>
      </c>
      <c r="BZ94" s="40">
        <f t="shared" si="188"/>
        <v>578.66394173190395</v>
      </c>
      <c r="CA94" s="40">
        <f t="shared" si="189"/>
        <v>82.262219114855711</v>
      </c>
      <c r="CB94" s="40">
        <f t="shared" si="190"/>
        <v>867.63079853399415</v>
      </c>
      <c r="CC94" s="40">
        <f>$BN$91*BW94*((1+COS(RADIANS(Insolation!$L$7)))/2)</f>
        <v>75.067080593704745</v>
      </c>
      <c r="CD94" s="40">
        <f t="shared" si="191"/>
        <v>889.18738727435527</v>
      </c>
      <c r="CE94" s="40">
        <f t="shared" si="192"/>
        <v>72.414705384243106</v>
      </c>
      <c r="CF94" s="40">
        <f t="shared" si="193"/>
        <v>901.81478596795625</v>
      </c>
      <c r="CG94" s="40">
        <f t="shared" si="194"/>
        <v>67.523546623938429</v>
      </c>
      <c r="CJ94" s="48">
        <v>12.5</v>
      </c>
      <c r="CK94" s="40">
        <f t="shared" si="195"/>
        <v>30.439875649472558</v>
      </c>
      <c r="CL94" s="181">
        <f t="shared" si="137"/>
        <v>-7.5</v>
      </c>
      <c r="CM94" s="40">
        <f t="shared" si="196"/>
        <v>-8.2225438073183259</v>
      </c>
      <c r="CN94" s="40">
        <f t="shared" si="197"/>
        <v>-8.2225438073183259</v>
      </c>
      <c r="CO94" s="40">
        <f t="shared" si="198"/>
        <v>188.22254380731832</v>
      </c>
      <c r="CP94" s="40">
        <f t="shared" si="227"/>
        <v>-171.77745619268168</v>
      </c>
      <c r="CQ94" s="40">
        <f t="shared" si="200"/>
        <v>1.9738117899818632</v>
      </c>
      <c r="CR94" s="40">
        <f t="shared" si="201"/>
        <v>894.98002703986242</v>
      </c>
      <c r="CS94" s="41">
        <f>COS(RADIANS(CK94))*COS(RADIANS(CM94-Insolation!$L$6))*SIN(RADIANS(0))+(SIN(RADIANS(CK94))*COS(RADIANS(0)))</f>
        <v>0.5066339177197785</v>
      </c>
      <c r="CT94" s="41">
        <f>COS(RADIANS(CK94))*COS(RADIANS(CM94-Insolation!$L$6))*SIN(RADIANS(Insolation!$L$7))+SIN(RADIANS(CK94))*COS(RADIANS(Insolation!$L$7))</f>
        <v>0.90491439051814848</v>
      </c>
      <c r="CU94" s="40">
        <f t="shared" si="202"/>
        <v>453.42723738015877</v>
      </c>
      <c r="CV94" s="40">
        <f t="shared" si="203"/>
        <v>63.980860129172932</v>
      </c>
      <c r="CW94" s="40">
        <f t="shared" si="204"/>
        <v>809.88030569469311</v>
      </c>
      <c r="CX94" s="40">
        <f>$CI$91*CR94*((1+COS(RADIANS(Insolation!$L$7)))/2)</f>
        <v>58.384717011649741</v>
      </c>
      <c r="CY94" s="40">
        <f t="shared" si="205"/>
        <v>845.46570189407441</v>
      </c>
      <c r="CZ94" s="40">
        <f t="shared" si="206"/>
        <v>56.347913919027604</v>
      </c>
      <c r="DA94" s="40">
        <f t="shared" si="207"/>
        <v>894.98002703986242</v>
      </c>
      <c r="DB94" s="40">
        <f t="shared" si="208"/>
        <v>48.197866977748497</v>
      </c>
      <c r="DE94" s="48">
        <v>12.5</v>
      </c>
      <c r="DF94" s="40">
        <f t="shared" si="209"/>
        <v>26.279615275313127</v>
      </c>
      <c r="DG94" s="181">
        <f t="shared" si="138"/>
        <v>-7.5</v>
      </c>
      <c r="DH94" s="40">
        <f t="shared" si="210"/>
        <v>-7.6814064404502487</v>
      </c>
      <c r="DI94" s="40">
        <f t="shared" si="211"/>
        <v>-7.6814064404502487</v>
      </c>
      <c r="DJ94" s="40">
        <f t="shared" si="212"/>
        <v>187.68140644045025</v>
      </c>
      <c r="DK94" s="40">
        <f t="shared" si="228"/>
        <v>-172.31859355954975</v>
      </c>
      <c r="DL94" s="40">
        <f t="shared" si="214"/>
        <v>2.2585996786492299</v>
      </c>
      <c r="DM94" s="40">
        <f t="shared" si="215"/>
        <v>893.50574027737468</v>
      </c>
      <c r="DN94" s="41">
        <f>COS(RADIANS(DF94))*COS(RADIANS(DH94-Insolation!$L$6))*SIN(RADIANS(0))+(SIN(RADIANS(DF94))*COS(RADIANS(0)))</f>
        <v>0.44275221034214279</v>
      </c>
      <c r="DO94" s="41">
        <f>COS(RADIANS(DF94))*COS(RADIANS(DH94-Insolation!$L$6))*SIN(RADIANS(Insolation!$L$7))+SIN(RADIANS(DF94))*COS(RADIANS(Insolation!$L$7))</f>
        <v>0.87181027695178281</v>
      </c>
      <c r="DP94" s="40">
        <f t="shared" si="216"/>
        <v>395.60164146120019</v>
      </c>
      <c r="DQ94" s="40">
        <f t="shared" si="217"/>
        <v>52.337826761857087</v>
      </c>
      <c r="DR94" s="40">
        <f t="shared" si="218"/>
        <v>778.96748688922571</v>
      </c>
      <c r="DS94" s="40">
        <f>$DD$91*DM94*((1+COS(RADIANS(Insolation!$L$7)))/2)</f>
        <v>47.760051964391678</v>
      </c>
      <c r="DT94" s="40">
        <f t="shared" si="219"/>
        <v>820.41971127941645</v>
      </c>
      <c r="DU94" s="40">
        <f t="shared" si="220"/>
        <v>46.101934095989108</v>
      </c>
      <c r="DV94" s="40">
        <f t="shared" si="221"/>
        <v>893.50574027737468</v>
      </c>
      <c r="DW94" s="40">
        <f t="shared" si="222"/>
        <v>37.755257622586733</v>
      </c>
    </row>
    <row r="95" spans="3:127" x14ac:dyDescent="0.15">
      <c r="D95" s="48">
        <v>13</v>
      </c>
      <c r="E95" s="40">
        <f t="shared" si="139"/>
        <v>67.538496722611313</v>
      </c>
      <c r="F95" s="181">
        <f t="shared" si="133"/>
        <v>-15</v>
      </c>
      <c r="G95" s="40">
        <f t="shared" si="140"/>
        <v>-39.065889120502071</v>
      </c>
      <c r="H95" s="40">
        <f t="shared" si="141"/>
        <v>-39.065889120502071</v>
      </c>
      <c r="I95" s="40">
        <f t="shared" si="142"/>
        <v>219.06588912050208</v>
      </c>
      <c r="J95" s="40">
        <f t="shared" si="223"/>
        <v>-140.93411087949792</v>
      </c>
      <c r="K95" s="40">
        <f t="shared" si="144"/>
        <v>1.0820912900767803</v>
      </c>
      <c r="L95" s="40">
        <f t="shared" si="145"/>
        <v>866.82297419917279</v>
      </c>
      <c r="M95" s="41">
        <f>COS(RADIANS(E95))*COS(RADIANS(G95-Insolation!$L$6))*SIN(RADIANS(0))+(SIN(RADIANS(E95))*COS(RADIANS(0)))</f>
        <v>0.92413644686950991</v>
      </c>
      <c r="N95" s="41">
        <f>COS(RADIANS(E95))*COS(RADIANS(G95-Insolation!$L$6))*SIN(RADIANS(Insolation!$L$7))+SIN(RADIANS(E95))*COS(RADIANS(Insolation!$L$7))</f>
        <v>0.94423582443888066</v>
      </c>
      <c r="O95" s="40">
        <f t="shared" si="146"/>
        <v>801.06270344128438</v>
      </c>
      <c r="P95" s="40">
        <f t="shared" si="147"/>
        <v>116.90525588814666</v>
      </c>
      <c r="Q95" s="40">
        <f t="shared" si="148"/>
        <v>818.48530568551848</v>
      </c>
      <c r="R95" s="40">
        <f>$C$91*L95*((1+COS(RADIANS(Insolation!$L$7)))/2)</f>
        <v>106.68003319154775</v>
      </c>
      <c r="S95" s="40">
        <f t="shared" si="149"/>
        <v>806.4111623755723</v>
      </c>
      <c r="T95" s="40">
        <f t="shared" si="150"/>
        <v>100.51492303604506</v>
      </c>
      <c r="U95" s="40">
        <f t="shared" si="151"/>
        <v>866.82297419917279</v>
      </c>
      <c r="V95" s="40">
        <f t="shared" si="152"/>
        <v>112.47083184249468</v>
      </c>
      <c r="Y95" s="48">
        <v>13</v>
      </c>
      <c r="Z95" s="40">
        <f t="shared" si="153"/>
        <v>60.666270782595006</v>
      </c>
      <c r="AA95" s="181">
        <f t="shared" si="134"/>
        <v>-15</v>
      </c>
      <c r="AB95" s="40">
        <f t="shared" si="154"/>
        <v>-30.870573587863692</v>
      </c>
      <c r="AC95" s="40">
        <f t="shared" si="155"/>
        <v>-30.870573587863692</v>
      </c>
      <c r="AD95" s="40">
        <f t="shared" si="156"/>
        <v>210.8705735878637</v>
      </c>
      <c r="AE95" s="40">
        <f t="shared" si="224"/>
        <v>-149.1294264121363</v>
      </c>
      <c r="AF95" s="40">
        <f t="shared" si="158"/>
        <v>1.1470770376651835</v>
      </c>
      <c r="AG95" s="40">
        <f t="shared" si="159"/>
        <v>875.75436886405396</v>
      </c>
      <c r="AH95" s="41">
        <f>COS(RADIANS(Z95))*COS(RADIANS(AB95-Insolation!$L$6))*SIN(RADIANS(0))+(SIN(RADIANS(Z95))*COS(RADIANS(0)))</f>
        <v>0.87178102879249397</v>
      </c>
      <c r="AI95" s="41">
        <f>COS(RADIANS(Z95))*COS(RADIANS(AB95-Insolation!$L$6))*SIN(RADIANS(Insolation!$L$7))+SIN(RADIANS(Z95))*COS(RADIANS(Insolation!$L$7))</f>
        <v>0.97124837972057043</v>
      </c>
      <c r="AJ95" s="40">
        <f t="shared" si="160"/>
        <v>763.46604465782616</v>
      </c>
      <c r="AK95" s="40">
        <f t="shared" si="161"/>
        <v>111.80013567798524</v>
      </c>
      <c r="AL95" s="40">
        <f t="shared" si="162"/>
        <v>850.5750117924232</v>
      </c>
      <c r="AM95" s="40">
        <f>$X$91*AG95*((1+COS(RADIANS(Insolation!$L$7)))/2)</f>
        <v>102.02143688354307</v>
      </c>
      <c r="AN95" s="40">
        <f t="shared" si="163"/>
        <v>850.53497738162116</v>
      </c>
      <c r="AO95" s="40">
        <f t="shared" si="164"/>
        <v>96.704658498853831</v>
      </c>
      <c r="AP95" s="40">
        <f t="shared" si="165"/>
        <v>875.75436886405396</v>
      </c>
      <c r="AQ95" s="40">
        <f t="shared" si="166"/>
        <v>104.6326864892398</v>
      </c>
      <c r="AT95" s="48">
        <v>13</v>
      </c>
      <c r="AU95" s="40">
        <f t="shared" si="167"/>
        <v>49.840565727562932</v>
      </c>
      <c r="AV95" s="181">
        <f t="shared" si="135"/>
        <v>-15</v>
      </c>
      <c r="AW95" s="40">
        <f t="shared" si="168"/>
        <v>-23.642038388543476</v>
      </c>
      <c r="AX95" s="40">
        <f t="shared" si="169"/>
        <v>-23.642038388543476</v>
      </c>
      <c r="AY95" s="40">
        <f t="shared" si="170"/>
        <v>203.64203838854348</v>
      </c>
      <c r="AZ95" s="40">
        <f t="shared" si="225"/>
        <v>-156.35796161145652</v>
      </c>
      <c r="BA95" s="40">
        <f t="shared" si="172"/>
        <v>1.3084675222666082</v>
      </c>
      <c r="BB95" s="40">
        <f t="shared" si="173"/>
        <v>889.73787740920147</v>
      </c>
      <c r="BC95" s="41">
        <f>COS(RADIANS(AU95))*COS(RADIANS(AW95-Insolation!$L$6))*SIN(RADIANS(0))+(SIN(RADIANS(AU95))*COS(RADIANS(0)))</f>
        <v>0.76425282476078449</v>
      </c>
      <c r="BD95" s="41">
        <f>COS(RADIANS(AU95))*COS(RADIANS(AW95-Insolation!$L$6))*SIN(RADIANS(Insolation!$L$7))+SIN(RADIANS(AU95))*COS(RADIANS(Insolation!$L$7))</f>
        <v>0.97860950246176559</v>
      </c>
      <c r="BE95" s="40">
        <f t="shared" si="174"/>
        <v>679.98468610664679</v>
      </c>
      <c r="BF95" s="40">
        <f t="shared" si="175"/>
        <v>99.093878429930925</v>
      </c>
      <c r="BG95" s="40">
        <f t="shared" si="176"/>
        <v>870.70594153280604</v>
      </c>
      <c r="BH95" s="40">
        <f>$AS$91*BB95*((1+COS(RADIANS(Insolation!$L$7)))/2)</f>
        <v>90.426543782588695</v>
      </c>
      <c r="BI95" s="40">
        <f t="shared" si="177"/>
        <v>889.07196107777065</v>
      </c>
      <c r="BJ95" s="40">
        <f t="shared" si="178"/>
        <v>86.148945343537818</v>
      </c>
      <c r="BK95" s="40">
        <f t="shared" si="179"/>
        <v>889.73787740920147</v>
      </c>
      <c r="BL95" s="40">
        <f t="shared" si="180"/>
        <v>87.413327468253698</v>
      </c>
      <c r="BO95" s="48">
        <v>13</v>
      </c>
      <c r="BP95" s="40">
        <f t="shared" si="181"/>
        <v>38.490954197780461</v>
      </c>
      <c r="BQ95" s="181">
        <f t="shared" si="136"/>
        <v>-15</v>
      </c>
      <c r="BR95" s="40">
        <f t="shared" si="182"/>
        <v>-19.02870359447931</v>
      </c>
      <c r="BS95" s="40">
        <f t="shared" si="183"/>
        <v>-19.02870359447931</v>
      </c>
      <c r="BT95" s="40">
        <f t="shared" si="184"/>
        <v>199.02870359447931</v>
      </c>
      <c r="BU95" s="40">
        <f t="shared" si="226"/>
        <v>-160.97129640552069</v>
      </c>
      <c r="BV95" s="40">
        <f t="shared" si="186"/>
        <v>1.6067068533807414</v>
      </c>
      <c r="BW95" s="40">
        <f t="shared" si="187"/>
        <v>894.41596402178607</v>
      </c>
      <c r="BX95" s="41">
        <f>COS(RADIANS(BP95))*COS(RADIANS(BR95-Insolation!$L$6))*SIN(RADIANS(0))+(SIN(RADIANS(BP95))*COS(RADIANS(0)))</f>
        <v>0.62239107146139117</v>
      </c>
      <c r="BY95" s="41">
        <f>COS(RADIANS(BP95))*COS(RADIANS(BR95-Insolation!$L$6))*SIN(RADIANS(Insolation!$L$7))+SIN(RADIANS(BP95))*COS(RADIANS(Insolation!$L$7))</f>
        <v>0.94509334354331909</v>
      </c>
      <c r="BZ95" s="40">
        <f t="shared" si="188"/>
        <v>556.67651017969251</v>
      </c>
      <c r="CA95" s="40">
        <f t="shared" si="189"/>
        <v>81.587309453140222</v>
      </c>
      <c r="CB95" s="40">
        <f t="shared" si="190"/>
        <v>845.30657395587082</v>
      </c>
      <c r="CC95" s="40">
        <f>$BN$91*BW95*((1+COS(RADIANS(Insolation!$L$7)))/2)</f>
        <v>74.451202508787901</v>
      </c>
      <c r="CD95" s="40">
        <f t="shared" si="191"/>
        <v>881.89216517599311</v>
      </c>
      <c r="CE95" s="40">
        <f t="shared" si="192"/>
        <v>71.152254764760059</v>
      </c>
      <c r="CF95" s="40">
        <f t="shared" si="193"/>
        <v>894.41596402178607</v>
      </c>
      <c r="CG95" s="40">
        <f t="shared" si="194"/>
        <v>66.183261200666124</v>
      </c>
      <c r="CJ95" s="48">
        <v>13</v>
      </c>
      <c r="CK95" s="40">
        <f t="shared" si="195"/>
        <v>29.220156833243486</v>
      </c>
      <c r="CL95" s="181">
        <f t="shared" si="137"/>
        <v>-15</v>
      </c>
      <c r="CM95" s="40">
        <f t="shared" si="196"/>
        <v>-16.26908813899767</v>
      </c>
      <c r="CN95" s="40">
        <f t="shared" si="197"/>
        <v>-16.26908813899767</v>
      </c>
      <c r="CO95" s="40">
        <f t="shared" si="198"/>
        <v>196.26908813899766</v>
      </c>
      <c r="CP95" s="40">
        <f t="shared" si="227"/>
        <v>-163.73091186100234</v>
      </c>
      <c r="CQ95" s="40">
        <f t="shared" si="200"/>
        <v>2.0484804626669151</v>
      </c>
      <c r="CR95" s="40">
        <f t="shared" si="201"/>
        <v>884.78543818356741</v>
      </c>
      <c r="CS95" s="41">
        <f>COS(RADIANS(CK95))*COS(RADIANS(CM95-Insolation!$L$6))*SIN(RADIANS(0))+(SIN(RADIANS(CK95))*COS(RADIANS(0)))</f>
        <v>0.4881667256411617</v>
      </c>
      <c r="CT95" s="41">
        <f>COS(RADIANS(CK95))*COS(RADIANS(CM95-Insolation!$L$6))*SIN(RADIANS(Insolation!$L$7))+SIN(RADIANS(CK95))*COS(RADIANS(Insolation!$L$7))</f>
        <v>0.88862599995739044</v>
      </c>
      <c r="CU95" s="40">
        <f t="shared" si="202"/>
        <v>431.9228102530526</v>
      </c>
      <c r="CV95" s="40">
        <f t="shared" si="203"/>
        <v>63.252063347141522</v>
      </c>
      <c r="CW95" s="40">
        <f t="shared" si="204"/>
        <v>786.24334475361047</v>
      </c>
      <c r="CX95" s="40">
        <f>$CI$91*CR95*((1+COS(RADIANS(Insolation!$L$7)))/2)</f>
        <v>57.719665091559925</v>
      </c>
      <c r="CY95" s="40">
        <f t="shared" si="205"/>
        <v>835.83512359902932</v>
      </c>
      <c r="CZ95" s="40">
        <f t="shared" si="206"/>
        <v>55.264177464775763</v>
      </c>
      <c r="DA95" s="40">
        <f t="shared" si="207"/>
        <v>884.78543818356741</v>
      </c>
      <c r="DB95" s="40">
        <f t="shared" si="208"/>
        <v>47.064808000681467</v>
      </c>
      <c r="DE95" s="48">
        <v>13</v>
      </c>
      <c r="DF95" s="40">
        <f t="shared" si="209"/>
        <v>25.138164230082491</v>
      </c>
      <c r="DG95" s="181">
        <f t="shared" si="138"/>
        <v>-15</v>
      </c>
      <c r="DH95" s="40">
        <f t="shared" si="210"/>
        <v>-15.219167135862778</v>
      </c>
      <c r="DI95" s="40">
        <f t="shared" si="211"/>
        <v>-15.219167135862778</v>
      </c>
      <c r="DJ95" s="40">
        <f t="shared" si="212"/>
        <v>195.21916713586279</v>
      </c>
      <c r="DK95" s="40">
        <f t="shared" si="228"/>
        <v>-164.78083286413721</v>
      </c>
      <c r="DL95" s="40">
        <f t="shared" si="214"/>
        <v>2.3540349982150288</v>
      </c>
      <c r="DM95" s="40">
        <f t="shared" si="215"/>
        <v>881.4679546698776</v>
      </c>
      <c r="DN95" s="41">
        <f>COS(RADIANS(DF95))*COS(RADIANS(DH95-Insolation!$L$6))*SIN(RADIANS(0))+(SIN(RADIANS(DF95))*COS(RADIANS(0)))</f>
        <v>0.42480252025065907</v>
      </c>
      <c r="DO95" s="41">
        <f>COS(RADIANS(DF95))*COS(RADIANS(DH95-Insolation!$L$6))*SIN(RADIANS(Insolation!$L$7))+SIN(RADIANS(DF95))*COS(RADIANS(Insolation!$L$7))</f>
        <v>0.85597833231125486</v>
      </c>
      <c r="DP95" s="40">
        <f t="shared" si="216"/>
        <v>374.4498086639577</v>
      </c>
      <c r="DQ95" s="40">
        <f t="shared" si="217"/>
        <v>51.632703661555603</v>
      </c>
      <c r="DR95" s="40">
        <f t="shared" si="218"/>
        <v>754.51746982413465</v>
      </c>
      <c r="DS95" s="40">
        <f>$DD$91*DM95*((1+COS(RADIANS(Insolation!$L$7)))/2)</f>
        <v>47.116603086299648</v>
      </c>
      <c r="DT95" s="40">
        <f t="shared" si="219"/>
        <v>809.36657961237154</v>
      </c>
      <c r="DU95" s="40">
        <f t="shared" si="220"/>
        <v>45.143707503411669</v>
      </c>
      <c r="DV95" s="40">
        <f t="shared" si="221"/>
        <v>881.4679546698776</v>
      </c>
      <c r="DW95" s="40">
        <f t="shared" si="222"/>
        <v>36.783203152169932</v>
      </c>
    </row>
    <row r="96" spans="3:127" x14ac:dyDescent="0.15">
      <c r="D96" s="48">
        <v>13.5</v>
      </c>
      <c r="E96" s="40">
        <f t="shared" si="139"/>
        <v>63.402259495564529</v>
      </c>
      <c r="F96" s="181">
        <f t="shared" si="133"/>
        <v>-22.5</v>
      </c>
      <c r="G96" s="40">
        <f t="shared" si="140"/>
        <v>-52.670551718594133</v>
      </c>
      <c r="H96" s="40">
        <f t="shared" si="141"/>
        <v>-52.670551718594133</v>
      </c>
      <c r="I96" s="40">
        <f t="shared" si="142"/>
        <v>232.67055171859414</v>
      </c>
      <c r="J96" s="40">
        <f t="shared" si="223"/>
        <v>-127.32944828140586</v>
      </c>
      <c r="K96" s="40">
        <f t="shared" si="144"/>
        <v>1.1183532013517541</v>
      </c>
      <c r="L96" s="40">
        <f t="shared" si="145"/>
        <v>860.28202787739087</v>
      </c>
      <c r="M96" s="41">
        <f>COS(RADIANS(E96))*COS(RADIANS(G96-Insolation!$L$6))*SIN(RADIANS(0))+(SIN(RADIANS(E96))*COS(RADIANS(0)))</f>
        <v>0.89417189380895012</v>
      </c>
      <c r="N96" s="41">
        <f>COS(RADIANS(E96))*COS(RADIANS(G96-Insolation!$L$6))*SIN(RADIANS(Insolation!$L$7))+SIN(RADIANS(E96))*COS(RADIANS(Insolation!$L$7))</f>
        <v>0.91266795467372108</v>
      </c>
      <c r="O96" s="40">
        <f t="shared" si="146"/>
        <v>769.24001007693062</v>
      </c>
      <c r="P96" s="40">
        <f t="shared" si="147"/>
        <v>116.02310229247736</v>
      </c>
      <c r="Q96" s="40">
        <f t="shared" si="148"/>
        <v>785.15183882541942</v>
      </c>
      <c r="R96" s="40">
        <f>$C$91*L96*((1+COS(RADIANS(Insolation!$L$7)))/2)</f>
        <v>105.87503794859576</v>
      </c>
      <c r="S96" s="40">
        <f t="shared" si="149"/>
        <v>800.32607662751923</v>
      </c>
      <c r="T96" s="40">
        <f t="shared" si="150"/>
        <v>96.742190427344724</v>
      </c>
      <c r="U96" s="40">
        <f t="shared" si="151"/>
        <v>860.28202787739087</v>
      </c>
      <c r="V96" s="40">
        <f t="shared" si="152"/>
        <v>109.88384969746569</v>
      </c>
      <c r="Y96" s="48">
        <v>13.5</v>
      </c>
      <c r="Z96" s="40">
        <f t="shared" si="153"/>
        <v>57.192875941317645</v>
      </c>
      <c r="AA96" s="181">
        <f t="shared" si="134"/>
        <v>-22.5</v>
      </c>
      <c r="AB96" s="40">
        <f t="shared" si="154"/>
        <v>-43.311343760226727</v>
      </c>
      <c r="AC96" s="40">
        <f t="shared" si="155"/>
        <v>-43.311343760226727</v>
      </c>
      <c r="AD96" s="40">
        <f t="shared" si="156"/>
        <v>223.31134376022672</v>
      </c>
      <c r="AE96" s="40">
        <f t="shared" si="224"/>
        <v>-136.68865623977328</v>
      </c>
      <c r="AF96" s="40">
        <f t="shared" si="158"/>
        <v>1.1897690683247428</v>
      </c>
      <c r="AG96" s="40">
        <f t="shared" si="159"/>
        <v>868.21306322031739</v>
      </c>
      <c r="AH96" s="41">
        <f>COS(RADIANS(Z96))*COS(RADIANS(AB96-Insolation!$L$6))*SIN(RADIANS(0))+(SIN(RADIANS(Z96))*COS(RADIANS(0)))</f>
        <v>0.84049924193108527</v>
      </c>
      <c r="AI96" s="41">
        <f>COS(RADIANS(Z96))*COS(RADIANS(AB96-Insolation!$L$6))*SIN(RADIANS(Insolation!$L$7))+SIN(RADIANS(Z96))*COS(RADIANS(Insolation!$L$7))</f>
        <v>0.93829279477769989</v>
      </c>
      <c r="AJ96" s="40">
        <f t="shared" si="160"/>
        <v>729.73242147134215</v>
      </c>
      <c r="AK96" s="40">
        <f t="shared" si="161"/>
        <v>110.83740112120248</v>
      </c>
      <c r="AL96" s="40">
        <f t="shared" si="162"/>
        <v>814.6380615514995</v>
      </c>
      <c r="AM96" s="40">
        <f>$X$91*AG96*((1+COS(RADIANS(Insolation!$L$7)))/2)</f>
        <v>101.14290876526496</v>
      </c>
      <c r="AN96" s="40">
        <f t="shared" si="163"/>
        <v>843.21084123892263</v>
      </c>
      <c r="AO96" s="40">
        <f t="shared" si="164"/>
        <v>93.502741125296694</v>
      </c>
      <c r="AP96" s="40">
        <f t="shared" si="165"/>
        <v>868.21306322031739</v>
      </c>
      <c r="AQ96" s="40">
        <f t="shared" si="166"/>
        <v>101.99807637059239</v>
      </c>
      <c r="AT96" s="48">
        <v>13.5</v>
      </c>
      <c r="AU96" s="40">
        <f t="shared" si="167"/>
        <v>47.060009617591191</v>
      </c>
      <c r="AV96" s="181">
        <f t="shared" si="135"/>
        <v>-22.5</v>
      </c>
      <c r="AW96" s="40">
        <f t="shared" si="168"/>
        <v>-34.147934078138178</v>
      </c>
      <c r="AX96" s="40">
        <f t="shared" si="169"/>
        <v>-34.147934078138178</v>
      </c>
      <c r="AY96" s="40">
        <f t="shared" si="170"/>
        <v>214.14793407813818</v>
      </c>
      <c r="AZ96" s="40">
        <f t="shared" si="225"/>
        <v>-145.85206592186182</v>
      </c>
      <c r="BA96" s="40">
        <f t="shared" si="172"/>
        <v>1.3659940659623528</v>
      </c>
      <c r="BB96" s="40">
        <f t="shared" si="173"/>
        <v>880.15063750688932</v>
      </c>
      <c r="BC96" s="41">
        <f>COS(RADIANS(AU96))*COS(RADIANS(AW96-Insolation!$L$6))*SIN(RADIANS(0))+(SIN(RADIANS(AU96))*COS(RADIANS(0)))</f>
        <v>0.73206760184239361</v>
      </c>
      <c r="BD96" s="41">
        <f>COS(RADIANS(AU96))*COS(RADIANS(AW96-Insolation!$L$6))*SIN(RADIANS(Insolation!$L$7))+SIN(RADIANS(AU96))*COS(RADIANS(Insolation!$L$7))</f>
        <v>0.94470214120738705</v>
      </c>
      <c r="BE96" s="40">
        <f t="shared" si="174"/>
        <v>644.32976645972235</v>
      </c>
      <c r="BF96" s="40">
        <f t="shared" si="175"/>
        <v>98.026106887907019</v>
      </c>
      <c r="BG96" s="40">
        <f t="shared" si="176"/>
        <v>831.48019183780514</v>
      </c>
      <c r="BH96" s="40">
        <f>$AS$91*BB96*((1+COS(RADIANS(Insolation!$L$7)))/2)</f>
        <v>89.452165832866001</v>
      </c>
      <c r="BI96" s="40">
        <f t="shared" si="177"/>
        <v>879.49189665914469</v>
      </c>
      <c r="BJ96" s="40">
        <f t="shared" si="178"/>
        <v>83.575493178507401</v>
      </c>
      <c r="BK96" s="40">
        <f t="shared" si="179"/>
        <v>880.15063750688932</v>
      </c>
      <c r="BL96" s="40">
        <f t="shared" si="180"/>
        <v>84.893921937641622</v>
      </c>
      <c r="BO96" s="48">
        <v>13.5</v>
      </c>
      <c r="BP96" s="40">
        <f t="shared" si="181"/>
        <v>36.201922465429142</v>
      </c>
      <c r="BQ96" s="181">
        <f t="shared" si="136"/>
        <v>-22.5</v>
      </c>
      <c r="BR96" s="40">
        <f t="shared" si="182"/>
        <v>-27.878591167454061</v>
      </c>
      <c r="BS96" s="40">
        <f t="shared" si="183"/>
        <v>-27.878591167454061</v>
      </c>
      <c r="BT96" s="40">
        <f t="shared" si="184"/>
        <v>207.87859116745406</v>
      </c>
      <c r="BU96" s="40">
        <f t="shared" si="226"/>
        <v>-152.12140883254594</v>
      </c>
      <c r="BV96" s="40">
        <f t="shared" si="186"/>
        <v>1.6930994953927705</v>
      </c>
      <c r="BW96" s="40">
        <f t="shared" si="187"/>
        <v>881.32326316602348</v>
      </c>
      <c r="BX96" s="41">
        <f>COS(RADIANS(BP96))*COS(RADIANS(BR96-Insolation!$L$6))*SIN(RADIANS(0))+(SIN(RADIANS(BP96))*COS(RADIANS(0)))</f>
        <v>0.59063274351045558</v>
      </c>
      <c r="BY96" s="41">
        <f>COS(RADIANS(BP96))*COS(RADIANS(BR96-Insolation!$L$6))*SIN(RADIANS(Insolation!$L$7))+SIN(RADIANS(BP96))*COS(RADIANS(Insolation!$L$7))</f>
        <v>0.91163571917334507</v>
      </c>
      <c r="BZ96" s="40">
        <f t="shared" si="188"/>
        <v>520.53837684333564</v>
      </c>
      <c r="CA96" s="40">
        <f t="shared" si="189"/>
        <v>80.393012527252083</v>
      </c>
      <c r="CB96" s="40">
        <f t="shared" si="190"/>
        <v>803.4457668405571</v>
      </c>
      <c r="CC96" s="40">
        <f>$BN$91*BW96*((1+COS(RADIANS(Insolation!$L$7)))/2)</f>
        <v>73.361365830989499</v>
      </c>
      <c r="CD96" s="40">
        <f t="shared" si="191"/>
        <v>868.98279104790697</v>
      </c>
      <c r="CE96" s="40">
        <f t="shared" si="192"/>
        <v>69.014453457393998</v>
      </c>
      <c r="CF96" s="40">
        <f t="shared" si="193"/>
        <v>881.32326316602348</v>
      </c>
      <c r="CG96" s="40">
        <f t="shared" si="194"/>
        <v>63.937879037646709</v>
      </c>
      <c r="CJ96" s="48">
        <v>13.5</v>
      </c>
      <c r="CK96" s="40">
        <f t="shared" si="195"/>
        <v>27.241328539364314</v>
      </c>
      <c r="CL96" s="181">
        <f t="shared" si="137"/>
        <v>-22.5</v>
      </c>
      <c r="CM96" s="40">
        <f t="shared" si="196"/>
        <v>-23.992073592800526</v>
      </c>
      <c r="CN96" s="40">
        <f t="shared" si="197"/>
        <v>-23.992073592800526</v>
      </c>
      <c r="CO96" s="40">
        <f t="shared" si="198"/>
        <v>203.99207359280052</v>
      </c>
      <c r="CP96" s="40">
        <f t="shared" si="227"/>
        <v>-156.00792640719948</v>
      </c>
      <c r="CQ96" s="40">
        <f t="shared" si="200"/>
        <v>2.1846493550558574</v>
      </c>
      <c r="CR96" s="40">
        <f t="shared" si="201"/>
        <v>866.49220915071339</v>
      </c>
      <c r="CS96" s="41">
        <f>COS(RADIANS(CK96))*COS(RADIANS(CM96-Insolation!$L$6))*SIN(RADIANS(0))+(SIN(RADIANS(CK96))*COS(RADIANS(0)))</f>
        <v>0.45773936109505864</v>
      </c>
      <c r="CT96" s="41">
        <f>COS(RADIANS(CK96))*COS(RADIANS(CM96-Insolation!$L$6))*SIN(RADIANS(Insolation!$L$7))+SIN(RADIANS(CK96))*COS(RADIANS(Insolation!$L$7))</f>
        <v>0.85657055500057289</v>
      </c>
      <c r="CU96" s="40">
        <f t="shared" si="202"/>
        <v>396.62759021049345</v>
      </c>
      <c r="CV96" s="40">
        <f t="shared" si="203"/>
        <v>61.9443061987132</v>
      </c>
      <c r="CW96" s="40">
        <f t="shared" si="204"/>
        <v>742.21171249589906</v>
      </c>
      <c r="CX96" s="40">
        <f>$CI$91*CR96*((1+COS(RADIANS(Insolation!$L$7)))/2)</f>
        <v>56.526292090996968</v>
      </c>
      <c r="CY96" s="40">
        <f t="shared" si="205"/>
        <v>818.55395836976084</v>
      </c>
      <c r="CZ96" s="40">
        <f t="shared" si="206"/>
        <v>53.397268194679107</v>
      </c>
      <c r="DA96" s="40">
        <f t="shared" si="207"/>
        <v>866.49220915071339</v>
      </c>
      <c r="DB96" s="40">
        <f t="shared" si="208"/>
        <v>45.149326670794437</v>
      </c>
      <c r="DE96" s="48">
        <v>13.5</v>
      </c>
      <c r="DF96" s="40">
        <f t="shared" si="209"/>
        <v>23.280183050430313</v>
      </c>
      <c r="DG96" s="181">
        <f t="shared" si="138"/>
        <v>-22.5</v>
      </c>
      <c r="DH96" s="40">
        <f t="shared" si="210"/>
        <v>-22.49018086668697</v>
      </c>
      <c r="DI96" s="40">
        <f t="shared" si="211"/>
        <v>-22.49018086668697</v>
      </c>
      <c r="DJ96" s="40">
        <f t="shared" si="212"/>
        <v>202.49018086668696</v>
      </c>
      <c r="DK96" s="40">
        <f t="shared" si="228"/>
        <v>-157.50981913331304</v>
      </c>
      <c r="DL96" s="40">
        <f t="shared" si="214"/>
        <v>2.5301862931580517</v>
      </c>
      <c r="DM96" s="40">
        <f t="shared" si="215"/>
        <v>859.67333076713635</v>
      </c>
      <c r="DN96" s="41">
        <f>COS(RADIANS(DF96))*COS(RADIANS(DH96-Insolation!$L$6))*SIN(RADIANS(0))+(SIN(RADIANS(DF96))*COS(RADIANS(0)))</f>
        <v>0.39522781492577375</v>
      </c>
      <c r="DO96" s="41">
        <f>COS(RADIANS(DF96))*COS(RADIANS(DH96-Insolation!$L$6))*SIN(RADIANS(Insolation!$L$7))+SIN(RADIANS(DF96))*COS(RADIANS(Insolation!$L$7))</f>
        <v>0.82482116990832899</v>
      </c>
      <c r="DP96" s="40">
        <f t="shared" si="216"/>
        <v>339.76681206905727</v>
      </c>
      <c r="DQ96" s="40">
        <f t="shared" si="217"/>
        <v>50.356065808275112</v>
      </c>
      <c r="DR96" s="40">
        <f t="shared" si="218"/>
        <v>709.07676242233924</v>
      </c>
      <c r="DS96" s="40">
        <f>$DD$91*DM96*((1+COS(RADIANS(Insolation!$L$7)))/2)</f>
        <v>45.95162750391988</v>
      </c>
      <c r="DT96" s="40">
        <f t="shared" si="219"/>
        <v>789.35468909650342</v>
      </c>
      <c r="DU96" s="40">
        <f t="shared" si="220"/>
        <v>43.476403774838971</v>
      </c>
      <c r="DV96" s="40">
        <f t="shared" si="221"/>
        <v>859.67333076713635</v>
      </c>
      <c r="DW96" s="40">
        <f t="shared" si="222"/>
        <v>35.129091832969074</v>
      </c>
    </row>
    <row r="97" spans="2:127" x14ac:dyDescent="0.15">
      <c r="D97" s="48">
        <v>14</v>
      </c>
      <c r="E97" s="40">
        <f t="shared" si="139"/>
        <v>58.533090910371556</v>
      </c>
      <c r="F97" s="181">
        <f t="shared" si="133"/>
        <v>-30</v>
      </c>
      <c r="G97" s="40">
        <f t="shared" si="140"/>
        <v>-63.01028418539385</v>
      </c>
      <c r="H97" s="40">
        <f t="shared" si="141"/>
        <v>-63.01028418539385</v>
      </c>
      <c r="I97" s="40">
        <f t="shared" si="142"/>
        <v>243.01028418539386</v>
      </c>
      <c r="J97" s="40">
        <f t="shared" si="223"/>
        <v>-116.98971581460614</v>
      </c>
      <c r="K97" s="40">
        <f t="shared" si="144"/>
        <v>1.1724129514997625</v>
      </c>
      <c r="L97" s="40">
        <f t="shared" si="145"/>
        <v>850.62222301639724</v>
      </c>
      <c r="M97" s="41">
        <f>COS(RADIANS(E97))*COS(RADIANS(G97-Insolation!$L$6))*SIN(RADIANS(0))+(SIN(RADIANS(E97))*COS(RADIANS(0)))</f>
        <v>0.85294178874498949</v>
      </c>
      <c r="N97" s="41">
        <f>COS(RADIANS(E97))*COS(RADIANS(G97-Insolation!$L$6))*SIN(RADIANS(Insolation!$L$7))+SIN(RADIANS(E97))*COS(RADIANS(Insolation!$L$7))</f>
        <v>0.86611298825419158</v>
      </c>
      <c r="O97" s="40">
        <f t="shared" si="146"/>
        <v>725.53124044584524</v>
      </c>
      <c r="P97" s="40">
        <f t="shared" si="147"/>
        <v>114.72031961052627</v>
      </c>
      <c r="Q97" s="40">
        <f t="shared" si="148"/>
        <v>736.73495545215519</v>
      </c>
      <c r="R97" s="40">
        <f>$C$91*L97*((1+COS(RADIANS(Insolation!$L$7)))/2)</f>
        <v>104.68620431835342</v>
      </c>
      <c r="S97" s="40">
        <f t="shared" si="149"/>
        <v>791.3394960936198</v>
      </c>
      <c r="T97" s="40">
        <f t="shared" si="150"/>
        <v>91.892960945505493</v>
      </c>
      <c r="U97" s="40">
        <f t="shared" si="151"/>
        <v>850.62222301639724</v>
      </c>
      <c r="V97" s="40">
        <f t="shared" si="152"/>
        <v>106.28503711226273</v>
      </c>
      <c r="Y97" s="48">
        <v>14</v>
      </c>
      <c r="Z97" s="40">
        <f t="shared" si="153"/>
        <v>52.887914218284521</v>
      </c>
      <c r="AA97" s="181">
        <f t="shared" si="134"/>
        <v>-30</v>
      </c>
      <c r="AB97" s="40">
        <f t="shared" si="154"/>
        <v>-53.591609505365938</v>
      </c>
      <c r="AC97" s="40">
        <f t="shared" si="155"/>
        <v>-53.591609505365938</v>
      </c>
      <c r="AD97" s="40">
        <f t="shared" si="156"/>
        <v>233.59160950536594</v>
      </c>
      <c r="AE97" s="40">
        <f t="shared" si="224"/>
        <v>-126.40839049463406</v>
      </c>
      <c r="AF97" s="40">
        <f t="shared" si="158"/>
        <v>1.2539866235030563</v>
      </c>
      <c r="AG97" s="40">
        <f t="shared" si="159"/>
        <v>856.99152702986237</v>
      </c>
      <c r="AH97" s="41">
        <f>COS(RADIANS(Z97))*COS(RADIANS(AB97-Insolation!$L$6))*SIN(RADIANS(0))+(SIN(RADIANS(Z97))*COS(RADIANS(0)))</f>
        <v>0.79745667238974549</v>
      </c>
      <c r="AI97" s="41">
        <f>COS(RADIANS(Z97))*COS(RADIANS(AB97-Insolation!$L$6))*SIN(RADIANS(Insolation!$L$7))+SIN(RADIANS(Z97))*COS(RADIANS(Insolation!$L$7))</f>
        <v>0.8896912843886593</v>
      </c>
      <c r="AJ97" s="40">
        <f t="shared" si="160"/>
        <v>683.41361141144068</v>
      </c>
      <c r="AK97" s="40">
        <f t="shared" si="161"/>
        <v>109.40484273130188</v>
      </c>
      <c r="AL97" s="40">
        <f t="shared" si="162"/>
        <v>762.45789239339672</v>
      </c>
      <c r="AM97" s="40">
        <f>$X$91*AG97*((1+COS(RADIANS(Insolation!$L$7)))/2)</f>
        <v>99.835650375362917</v>
      </c>
      <c r="AN97" s="40">
        <f t="shared" si="163"/>
        <v>832.3124553795227</v>
      </c>
      <c r="AO97" s="40">
        <f t="shared" si="164"/>
        <v>89.205138072162811</v>
      </c>
      <c r="AP97" s="40">
        <f t="shared" si="165"/>
        <v>856.99152702986237</v>
      </c>
      <c r="AQ97" s="40">
        <f t="shared" si="166"/>
        <v>98.325232279564659</v>
      </c>
      <c r="AT97" s="48">
        <v>14</v>
      </c>
      <c r="AU97" s="40">
        <f t="shared" si="167"/>
        <v>43.454785495279111</v>
      </c>
      <c r="AV97" s="181">
        <f t="shared" si="135"/>
        <v>-30</v>
      </c>
      <c r="AW97" s="40">
        <f t="shared" si="168"/>
        <v>-43.493172149539895</v>
      </c>
      <c r="AX97" s="40">
        <f t="shared" si="169"/>
        <v>-43.493172149539895</v>
      </c>
      <c r="AY97" s="40">
        <f t="shared" si="170"/>
        <v>223.4931721495399</v>
      </c>
      <c r="AZ97" s="40">
        <f t="shared" si="225"/>
        <v>-136.5068278504601</v>
      </c>
      <c r="BA97" s="40">
        <f t="shared" si="172"/>
        <v>1.4539492020254161</v>
      </c>
      <c r="BB97" s="40">
        <f t="shared" si="173"/>
        <v>865.69158227214018</v>
      </c>
      <c r="BC97" s="41">
        <f>COS(RADIANS(AU97))*COS(RADIANS(AW97-Insolation!$L$6))*SIN(RADIANS(0))+(SIN(RADIANS(AU97))*COS(RADIANS(0)))</f>
        <v>0.68778193805323828</v>
      </c>
      <c r="BD97" s="41">
        <f>COS(RADIANS(AU97))*COS(RADIANS(AW97-Insolation!$L$6))*SIN(RADIANS(Insolation!$L$7))+SIN(RADIANS(AU97))*COS(RADIANS(Insolation!$L$7))</f>
        <v>0.8946969911508369</v>
      </c>
      <c r="BE97" s="40">
        <f t="shared" si="174"/>
        <v>595.40703421150693</v>
      </c>
      <c r="BF97" s="40">
        <f t="shared" si="175"/>
        <v>96.415740623838289</v>
      </c>
      <c r="BG97" s="40">
        <f t="shared" si="176"/>
        <v>774.53165392349104</v>
      </c>
      <c r="BH97" s="40">
        <f>$AS$91*BB97*((1+COS(RADIANS(Insolation!$L$7)))/2)</f>
        <v>87.982651693435244</v>
      </c>
      <c r="BI97" s="40">
        <f t="shared" si="177"/>
        <v>865.04366317455629</v>
      </c>
      <c r="BJ97" s="40">
        <f t="shared" si="178"/>
        <v>79.985872024165118</v>
      </c>
      <c r="BK97" s="40">
        <f t="shared" si="179"/>
        <v>865.69158227214018</v>
      </c>
      <c r="BL97" s="40">
        <f t="shared" si="180"/>
        <v>81.364372784470063</v>
      </c>
      <c r="BO97" s="48">
        <v>14</v>
      </c>
      <c r="BP97" s="40">
        <f t="shared" si="181"/>
        <v>33.156958009951396</v>
      </c>
      <c r="BQ97" s="181">
        <f t="shared" si="136"/>
        <v>-30</v>
      </c>
      <c r="BR97" s="40">
        <f t="shared" si="182"/>
        <v>-36.077826766192857</v>
      </c>
      <c r="BS97" s="40">
        <f t="shared" si="183"/>
        <v>-36.077826766192857</v>
      </c>
      <c r="BT97" s="40">
        <f t="shared" si="184"/>
        <v>216.07782676619286</v>
      </c>
      <c r="BU97" s="40">
        <f t="shared" si="226"/>
        <v>-143.92217323380714</v>
      </c>
      <c r="BV97" s="40">
        <f t="shared" si="186"/>
        <v>1.828372597783029</v>
      </c>
      <c r="BW97" s="40">
        <f t="shared" si="187"/>
        <v>861.20670933620863</v>
      </c>
      <c r="BX97" s="41">
        <f>COS(RADIANS(BP97))*COS(RADIANS(BR97-Insolation!$L$6))*SIN(RADIANS(0))+(SIN(RADIANS(BP97))*COS(RADIANS(0)))</f>
        <v>0.54693447124100303</v>
      </c>
      <c r="BY97" s="41">
        <f>COS(RADIANS(BP97))*COS(RADIANS(BR97-Insolation!$L$6))*SIN(RADIANS(Insolation!$L$7))+SIN(RADIANS(BP97))*COS(RADIANS(Insolation!$L$7))</f>
        <v>0.86229382215562311</v>
      </c>
      <c r="BZ97" s="40">
        <f t="shared" si="188"/>
        <v>471.02363620000347</v>
      </c>
      <c r="CA97" s="40">
        <f t="shared" si="189"/>
        <v>78.558010058083411</v>
      </c>
      <c r="CB97" s="40">
        <f t="shared" si="190"/>
        <v>742.61322505958606</v>
      </c>
      <c r="CC97" s="40">
        <f>$BN$91*BW97*((1+COS(RADIANS(Insolation!$L$7)))/2)</f>
        <v>71.686863492918533</v>
      </c>
      <c r="CD97" s="40">
        <f t="shared" si="191"/>
        <v>849.14791339983458</v>
      </c>
      <c r="CE97" s="40">
        <f t="shared" si="192"/>
        <v>65.944822076977573</v>
      </c>
      <c r="CF97" s="40">
        <f t="shared" si="193"/>
        <v>861.20670933620863</v>
      </c>
      <c r="CG97" s="40">
        <f t="shared" si="194"/>
        <v>60.762046875473331</v>
      </c>
      <c r="CJ97" s="48">
        <v>14</v>
      </c>
      <c r="CK97" s="40">
        <f t="shared" si="195"/>
        <v>24.574270504640417</v>
      </c>
      <c r="CL97" s="181">
        <f t="shared" si="137"/>
        <v>-30</v>
      </c>
      <c r="CM97" s="40">
        <f t="shared" si="196"/>
        <v>-31.290794291280228</v>
      </c>
      <c r="CN97" s="40">
        <f t="shared" si="197"/>
        <v>-31.290794291280228</v>
      </c>
      <c r="CO97" s="40">
        <f t="shared" si="198"/>
        <v>211.29079429128024</v>
      </c>
      <c r="CP97" s="40">
        <f t="shared" si="227"/>
        <v>-148.70920570871976</v>
      </c>
      <c r="CQ97" s="40">
        <f t="shared" si="200"/>
        <v>2.4045834550578866</v>
      </c>
      <c r="CR97" s="40">
        <f t="shared" si="201"/>
        <v>837.74116064724046</v>
      </c>
      <c r="CS97" s="41">
        <f>COS(RADIANS(CK97))*COS(RADIANS(CM97-Insolation!$L$6))*SIN(RADIANS(0))+(SIN(RADIANS(CK97))*COS(RADIANS(0)))</f>
        <v>0.41587244472491247</v>
      </c>
      <c r="CT97" s="41">
        <f>COS(RADIANS(CK97))*COS(RADIANS(CM97-Insolation!$L$6))*SIN(RADIANS(Insolation!$L$7))+SIN(RADIANS(CK97))*COS(RADIANS(Insolation!$L$7))</f>
        <v>0.80929653319835548</v>
      </c>
      <c r="CU97" s="40">
        <f t="shared" si="202"/>
        <v>348.3934645250535</v>
      </c>
      <c r="CV97" s="40">
        <f t="shared" si="203"/>
        <v>59.888934282814745</v>
      </c>
      <c r="CW97" s="40">
        <f t="shared" si="204"/>
        <v>677.98101702937834</v>
      </c>
      <c r="CX97" s="40">
        <f>$CI$91*CR97*((1+COS(RADIANS(Insolation!$L$7)))/2)</f>
        <v>54.650695116821453</v>
      </c>
      <c r="CY97" s="40">
        <f t="shared" si="205"/>
        <v>791.39354733402206</v>
      </c>
      <c r="CZ97" s="40">
        <f t="shared" si="206"/>
        <v>50.640917007653407</v>
      </c>
      <c r="DA97" s="40">
        <f t="shared" si="207"/>
        <v>837.74116064724046</v>
      </c>
      <c r="DB97" s="40">
        <f t="shared" si="208"/>
        <v>42.397545897489266</v>
      </c>
      <c r="DE97" s="48">
        <v>14</v>
      </c>
      <c r="DF97" s="40">
        <f t="shared" si="209"/>
        <v>20.764894733548683</v>
      </c>
      <c r="DG97" s="181">
        <f t="shared" si="138"/>
        <v>-30</v>
      </c>
      <c r="DH97" s="40">
        <f t="shared" si="210"/>
        <v>-29.406005158223564</v>
      </c>
      <c r="DI97" s="40">
        <f t="shared" si="211"/>
        <v>-29.406005158223564</v>
      </c>
      <c r="DJ97" s="40">
        <f t="shared" si="212"/>
        <v>209.40600515822356</v>
      </c>
      <c r="DK97" s="40">
        <f t="shared" si="228"/>
        <v>-150.59399484177644</v>
      </c>
      <c r="DL97" s="40">
        <f t="shared" si="214"/>
        <v>2.8206029470740486</v>
      </c>
      <c r="DM97" s="40">
        <f t="shared" si="215"/>
        <v>824.91131831089501</v>
      </c>
      <c r="DN97" s="41">
        <f>COS(RADIANS(DF97))*COS(RADIANS(DH97-Insolation!$L$6))*SIN(RADIANS(0))+(SIN(RADIANS(DF97))*COS(RADIANS(0)))</f>
        <v>0.35453412577525301</v>
      </c>
      <c r="DO97" s="41">
        <f>COS(RADIANS(DF97))*COS(RADIANS(DH97-Insolation!$L$6))*SIN(RADIANS(Insolation!$L$7))+SIN(RADIANS(DF97))*COS(RADIANS(Insolation!$L$7))</f>
        <v>0.77887189743011664</v>
      </c>
      <c r="DP97" s="40">
        <f t="shared" si="216"/>
        <v>292.45921307946463</v>
      </c>
      <c r="DQ97" s="40">
        <f t="shared" si="217"/>
        <v>48.319852604694034</v>
      </c>
      <c r="DR97" s="40">
        <f t="shared" si="218"/>
        <v>642.50024370438575</v>
      </c>
      <c r="DS97" s="40">
        <f>$DD$91*DM97*((1+COS(RADIANS(Insolation!$L$7)))/2)</f>
        <v>44.093513508164776</v>
      </c>
      <c r="DT97" s="40">
        <f t="shared" si="219"/>
        <v>757.43610263729659</v>
      </c>
      <c r="DU97" s="40">
        <f t="shared" si="220"/>
        <v>40.973162785911796</v>
      </c>
      <c r="DV97" s="40">
        <f t="shared" si="221"/>
        <v>824.91131831089501</v>
      </c>
      <c r="DW97" s="40">
        <f t="shared" si="222"/>
        <v>32.725444652744159</v>
      </c>
    </row>
    <row r="98" spans="2:127" x14ac:dyDescent="0.15">
      <c r="D98" s="48">
        <v>14.5</v>
      </c>
      <c r="E98" s="40">
        <f t="shared" si="139"/>
        <v>53.240212257515985</v>
      </c>
      <c r="F98" s="181">
        <f t="shared" si="133"/>
        <v>-37.5</v>
      </c>
      <c r="G98" s="40">
        <f t="shared" si="140"/>
        <v>-71.141174507241061</v>
      </c>
      <c r="H98" s="40">
        <f t="shared" si="141"/>
        <v>-71.141174507241061</v>
      </c>
      <c r="I98" s="40">
        <f t="shared" si="142"/>
        <v>251.14117450724106</v>
      </c>
      <c r="J98" s="40">
        <f t="shared" si="223"/>
        <v>-108.85882549275894</v>
      </c>
      <c r="K98" s="40">
        <f t="shared" si="144"/>
        <v>1.2482032267355923</v>
      </c>
      <c r="L98" s="40">
        <f t="shared" si="145"/>
        <v>837.26179891086372</v>
      </c>
      <c r="M98" s="41">
        <f>COS(RADIANS(E98))*COS(RADIANS(G98-Insolation!$L$6))*SIN(RADIANS(0))+(SIN(RADIANS(E98))*COS(RADIANS(0)))</f>
        <v>0.80115159020641658</v>
      </c>
      <c r="N98" s="41">
        <f>COS(RADIANS(E98))*COS(RADIANS(G98-Insolation!$L$6))*SIN(RADIANS(Insolation!$L$7))+SIN(RADIANS(E98))*COS(RADIANS(Insolation!$L$7))</f>
        <v>0.80536749356320592</v>
      </c>
      <c r="O98" s="40">
        <f t="shared" si="146"/>
        <v>670.77362161652343</v>
      </c>
      <c r="P98" s="40">
        <f t="shared" si="147"/>
        <v>112.91844789586095</v>
      </c>
      <c r="Q98" s="40">
        <f t="shared" si="148"/>
        <v>674.3034364450632</v>
      </c>
      <c r="R98" s="40">
        <f>$C$91*L98*((1+COS(RADIANS(Insolation!$L$7)))/2)</f>
        <v>103.04193492373078</v>
      </c>
      <c r="S98" s="40">
        <f t="shared" si="149"/>
        <v>778.91020493099506</v>
      </c>
      <c r="T98" s="40">
        <f t="shared" si="150"/>
        <v>86.14612237896624</v>
      </c>
      <c r="U98" s="40">
        <f t="shared" si="151"/>
        <v>837.26179891086372</v>
      </c>
      <c r="V98" s="40">
        <f t="shared" si="152"/>
        <v>101.69162099563518</v>
      </c>
      <c r="Y98" s="48">
        <v>14.5</v>
      </c>
      <c r="Z98" s="40">
        <f t="shared" si="153"/>
        <v>48.020979932325908</v>
      </c>
      <c r="AA98" s="181">
        <f t="shared" si="134"/>
        <v>-37.5</v>
      </c>
      <c r="AB98" s="40">
        <f t="shared" si="154"/>
        <v>-62.121356207322798</v>
      </c>
      <c r="AC98" s="40">
        <f t="shared" si="155"/>
        <v>-62.121356207322798</v>
      </c>
      <c r="AD98" s="40">
        <f t="shared" si="156"/>
        <v>242.1213562073228</v>
      </c>
      <c r="AE98" s="40">
        <f t="shared" si="224"/>
        <v>-117.8786437926772</v>
      </c>
      <c r="AF98" s="40">
        <f t="shared" si="158"/>
        <v>1.3451893109425421</v>
      </c>
      <c r="AG98" s="40">
        <f t="shared" si="159"/>
        <v>841.30335118552375</v>
      </c>
      <c r="AH98" s="41">
        <f>COS(RADIANS(Z98))*COS(RADIANS(AB98-Insolation!$L$6))*SIN(RADIANS(0))+(SIN(RADIANS(Z98))*COS(RADIANS(0)))</f>
        <v>0.74338979046698184</v>
      </c>
      <c r="AI98" s="41">
        <f>COS(RADIANS(Z98))*COS(RADIANS(AB98-Insolation!$L$6))*SIN(RADIANS(Insolation!$L$7))+SIN(RADIANS(Z98))*COS(RADIANS(Insolation!$L$7))</f>
        <v>0.82627543387108926</v>
      </c>
      <c r="AJ98" s="40">
        <f t="shared" si="160"/>
        <v>625.41632195697616</v>
      </c>
      <c r="AK98" s="40">
        <f t="shared" si="161"/>
        <v>107.40206632470263</v>
      </c>
      <c r="AL98" s="40">
        <f t="shared" si="162"/>
        <v>695.14829151801996</v>
      </c>
      <c r="AM98" s="40">
        <f>$X$91*AG98*((1+COS(RADIANS(Insolation!$L$7)))/2)</f>
        <v>98.008048597255694</v>
      </c>
      <c r="AN98" s="40">
        <f t="shared" si="163"/>
        <v>817.07605718235345</v>
      </c>
      <c r="AO98" s="40">
        <f t="shared" si="164"/>
        <v>83.914489143825492</v>
      </c>
      <c r="AP98" s="40">
        <f t="shared" si="165"/>
        <v>841.30335118552375</v>
      </c>
      <c r="AQ98" s="40">
        <f t="shared" si="166"/>
        <v>93.621832952772095</v>
      </c>
      <c r="AT98" s="48">
        <v>14.5</v>
      </c>
      <c r="AU98" s="40">
        <f t="shared" si="167"/>
        <v>39.209188597700255</v>
      </c>
      <c r="AV98" s="181">
        <f t="shared" si="135"/>
        <v>-37.5</v>
      </c>
      <c r="AW98" s="40">
        <f t="shared" si="168"/>
        <v>-51.727119352174491</v>
      </c>
      <c r="AX98" s="40">
        <f t="shared" si="169"/>
        <v>-51.727119352174491</v>
      </c>
      <c r="AY98" s="40">
        <f t="shared" si="170"/>
        <v>231.7271193521745</v>
      </c>
      <c r="AZ98" s="40">
        <f t="shared" si="225"/>
        <v>-128.2728806478255</v>
      </c>
      <c r="BA98" s="40">
        <f t="shared" si="172"/>
        <v>1.5818940873096556</v>
      </c>
      <c r="BB98" s="40">
        <f t="shared" si="173"/>
        <v>845.08158203585731</v>
      </c>
      <c r="BC98" s="41">
        <f>COS(RADIANS(AU98))*COS(RADIANS(AW98-Insolation!$L$6))*SIN(RADIANS(0))+(SIN(RADIANS(AU98))*COS(RADIANS(0)))</f>
        <v>0.63215357337905653</v>
      </c>
      <c r="BD98" s="41">
        <f>COS(RADIANS(AU98))*COS(RADIANS(AW98-Insolation!$L$6))*SIN(RADIANS(Insolation!$L$7))+SIN(RADIANS(AU98))*COS(RADIANS(Insolation!$L$7))</f>
        <v>0.82944965427362904</v>
      </c>
      <c r="BE98" s="40">
        <f t="shared" si="174"/>
        <v>534.22134188079349</v>
      </c>
      <c r="BF98" s="40">
        <f t="shared" si="175"/>
        <v>94.120317545074869</v>
      </c>
      <c r="BG98" s="40">
        <f t="shared" si="176"/>
        <v>700.95262605265327</v>
      </c>
      <c r="BH98" s="40">
        <f>$AS$91*BB98*((1+COS(RADIANS(Insolation!$L$7)))/2)</f>
        <v>85.887999845913356</v>
      </c>
      <c r="BI98" s="40">
        <f t="shared" si="177"/>
        <v>844.44908830803297</v>
      </c>
      <c r="BJ98" s="40">
        <f t="shared" si="178"/>
        <v>75.376619332954817</v>
      </c>
      <c r="BK98" s="40">
        <f t="shared" si="179"/>
        <v>845.08158203585731</v>
      </c>
      <c r="BL98" s="40">
        <f t="shared" si="180"/>
        <v>76.809406304382733</v>
      </c>
      <c r="BO98" s="48">
        <v>14.5</v>
      </c>
      <c r="BP98" s="40">
        <f t="shared" si="181"/>
        <v>29.47501285221599</v>
      </c>
      <c r="BQ98" s="181">
        <f t="shared" si="136"/>
        <v>-37.5</v>
      </c>
      <c r="BR98" s="40">
        <f t="shared" si="182"/>
        <v>-43.588648837963426</v>
      </c>
      <c r="BS98" s="40">
        <f t="shared" si="183"/>
        <v>-43.588648837963426</v>
      </c>
      <c r="BT98" s="40">
        <f t="shared" si="184"/>
        <v>223.58864883796343</v>
      </c>
      <c r="BU98" s="40">
        <f t="shared" si="226"/>
        <v>-136.41135116203657</v>
      </c>
      <c r="BV98" s="40">
        <f t="shared" si="186"/>
        <v>2.0323388017946589</v>
      </c>
      <c r="BW98" s="40">
        <f t="shared" si="187"/>
        <v>831.7395219425448</v>
      </c>
      <c r="BX98" s="41">
        <f>COS(RADIANS(BP98))*COS(RADIANS(BR98-Insolation!$L$6))*SIN(RADIANS(0))+(SIN(RADIANS(BP98))*COS(RADIANS(0)))</f>
        <v>0.49204394420701358</v>
      </c>
      <c r="BY98" s="41">
        <f>COS(RADIANS(BP98))*COS(RADIANS(BR98-Insolation!$L$6))*SIN(RADIANS(Insolation!$L$7))+SIN(RADIANS(BP98))*COS(RADIANS(Insolation!$L$7))</f>
        <v>0.79791190602828443</v>
      </c>
      <c r="BZ98" s="40">
        <f t="shared" si="188"/>
        <v>409.25239492946565</v>
      </c>
      <c r="CA98" s="40">
        <f t="shared" si="189"/>
        <v>75.870056540583391</v>
      </c>
      <c r="CB98" s="40">
        <f t="shared" si="190"/>
        <v>663.65486727223004</v>
      </c>
      <c r="CC98" s="40">
        <f>$BN$91*BW98*((1+COS(RADIANS(Insolation!$L$7)))/2)</f>
        <v>69.234014232329272</v>
      </c>
      <c r="CD98" s="40">
        <f t="shared" si="191"/>
        <v>820.09333170901414</v>
      </c>
      <c r="CE98" s="40">
        <f t="shared" si="192"/>
        <v>61.846582026930591</v>
      </c>
      <c r="CF98" s="40">
        <f t="shared" si="193"/>
        <v>831.7395219425448</v>
      </c>
      <c r="CG98" s="40">
        <f t="shared" si="194"/>
        <v>56.600729204010584</v>
      </c>
      <c r="CJ98" s="48">
        <v>14.5</v>
      </c>
      <c r="CK98" s="40">
        <f t="shared" si="195"/>
        <v>21.301912591772652</v>
      </c>
      <c r="CL98" s="181">
        <f t="shared" si="137"/>
        <v>-37.5</v>
      </c>
      <c r="CM98" s="40">
        <f t="shared" si="196"/>
        <v>-38.115832597697796</v>
      </c>
      <c r="CN98" s="40">
        <f t="shared" si="197"/>
        <v>-38.115832597697796</v>
      </c>
      <c r="CO98" s="40">
        <f t="shared" si="198"/>
        <v>218.11583259769779</v>
      </c>
      <c r="CP98" s="40">
        <f t="shared" si="227"/>
        <v>-141.88416740230221</v>
      </c>
      <c r="CQ98" s="40">
        <f t="shared" si="200"/>
        <v>2.7526799804271702</v>
      </c>
      <c r="CR98" s="40">
        <f t="shared" si="201"/>
        <v>794.17321310903731</v>
      </c>
      <c r="CS98" s="41">
        <f>COS(RADIANS(CK98))*COS(RADIANS(CM98-Insolation!$L$6))*SIN(RADIANS(0))+(SIN(RADIANS(CK98))*COS(RADIANS(0)))</f>
        <v>0.36328233107751834</v>
      </c>
      <c r="CT98" s="41">
        <f>COS(RADIANS(CK98))*COS(RADIANS(CM98-Insolation!$L$6))*SIN(RADIANS(Insolation!$L$7))+SIN(RADIANS(CK98))*COS(RADIANS(Insolation!$L$7))</f>
        <v>0.74761280617060888</v>
      </c>
      <c r="CU98" s="40">
        <f t="shared" si="202"/>
        <v>288.50909613757381</v>
      </c>
      <c r="CV98" s="40">
        <f t="shared" si="203"/>
        <v>56.774323148109765</v>
      </c>
      <c r="CW98" s="40">
        <f t="shared" si="204"/>
        <v>593.73406443797637</v>
      </c>
      <c r="CX98" s="40">
        <f>$CI$91*CR98*((1+COS(RADIANS(Insolation!$L$7)))/2)</f>
        <v>51.808506228864182</v>
      </c>
      <c r="CY98" s="40">
        <f t="shared" si="205"/>
        <v>750.23597483790365</v>
      </c>
      <c r="CZ98" s="40">
        <f t="shared" si="206"/>
        <v>46.804202268253832</v>
      </c>
      <c r="DA98" s="40">
        <f t="shared" si="207"/>
        <v>794.17321310903731</v>
      </c>
      <c r="DB98" s="40">
        <f t="shared" si="208"/>
        <v>38.699715803351694</v>
      </c>
      <c r="DE98" s="48">
        <v>14.5</v>
      </c>
      <c r="DF98" s="40">
        <f t="shared" si="209"/>
        <v>17.662996240067642</v>
      </c>
      <c r="DG98" s="181">
        <f t="shared" si="138"/>
        <v>-37.5</v>
      </c>
      <c r="DH98" s="40">
        <f t="shared" si="210"/>
        <v>-35.917612021610942</v>
      </c>
      <c r="DI98" s="40">
        <f t="shared" si="211"/>
        <v>-35.917612021610942</v>
      </c>
      <c r="DJ98" s="40">
        <f t="shared" si="212"/>
        <v>215.91761202161095</v>
      </c>
      <c r="DK98" s="40">
        <f t="shared" si="228"/>
        <v>-144.08238797838905</v>
      </c>
      <c r="DL98" s="40">
        <f t="shared" si="214"/>
        <v>3.2957862738395565</v>
      </c>
      <c r="DM98" s="40">
        <f t="shared" si="215"/>
        <v>771.03875142783897</v>
      </c>
      <c r="DN98" s="41">
        <f>COS(RADIANS(DF98))*COS(RADIANS(DH98-Insolation!$L$6))*SIN(RADIANS(0))+(SIN(RADIANS(DF98))*COS(RADIANS(0)))</f>
        <v>0.30341773310288428</v>
      </c>
      <c r="DO98" s="41">
        <f>COS(RADIANS(DF98))*COS(RADIANS(DH98-Insolation!$L$6))*SIN(RADIANS(Insolation!$L$7))+SIN(RADIANS(DF98))*COS(RADIANS(Insolation!$L$7))</f>
        <v>0.71891671966826509</v>
      </c>
      <c r="DP98" s="40">
        <f t="shared" si="216"/>
        <v>233.94683009271318</v>
      </c>
      <c r="DQ98" s="40">
        <f t="shared" si="217"/>
        <v>45.164223104354555</v>
      </c>
      <c r="DR98" s="40">
        <f t="shared" si="218"/>
        <v>554.31264991361684</v>
      </c>
      <c r="DS98" s="40">
        <f>$DD$91*DM98*((1+COS(RADIANS(Insolation!$L$7)))/2)</f>
        <v>41.213893962585594</v>
      </c>
      <c r="DT98" s="40">
        <f t="shared" si="219"/>
        <v>707.97014648758318</v>
      </c>
      <c r="DU98" s="40">
        <f t="shared" si="220"/>
        <v>37.396778998293001</v>
      </c>
      <c r="DV98" s="40">
        <f t="shared" si="221"/>
        <v>771.03875142783897</v>
      </c>
      <c r="DW98" s="40">
        <f t="shared" si="222"/>
        <v>29.43392464801536</v>
      </c>
    </row>
    <row r="99" spans="2:127" x14ac:dyDescent="0.15">
      <c r="D99" s="48">
        <v>15</v>
      </c>
      <c r="E99" s="40">
        <f t="shared" si="139"/>
        <v>47.704797301167225</v>
      </c>
      <c r="F99" s="181">
        <f t="shared" si="133"/>
        <v>-45</v>
      </c>
      <c r="G99" s="40">
        <f t="shared" si="140"/>
        <v>-77.829661373365354</v>
      </c>
      <c r="H99" s="40">
        <f t="shared" si="141"/>
        <v>-77.829661373365354</v>
      </c>
      <c r="I99" s="40">
        <f t="shared" si="142"/>
        <v>257.82966137336535</v>
      </c>
      <c r="J99" s="40">
        <f t="shared" si="223"/>
        <v>-102.17033862663465</v>
      </c>
      <c r="K99" s="40">
        <f t="shared" si="144"/>
        <v>1.3519223689239963</v>
      </c>
      <c r="L99" s="40">
        <f t="shared" si="145"/>
        <v>819.31746350244237</v>
      </c>
      <c r="M99" s="41">
        <f>COS(RADIANS(E99))*COS(RADIANS(G99-Insolation!$L$6))*SIN(RADIANS(0))+(SIN(RADIANS(E99))*COS(RADIANS(0)))</f>
        <v>0.73968744284918253</v>
      </c>
      <c r="N99" s="41">
        <f>COS(RADIANS(E99))*COS(RADIANS(G99-Insolation!$L$6))*SIN(RADIANS(Insolation!$L$7))+SIN(RADIANS(E99))*COS(RADIANS(Insolation!$L$7))</f>
        <v>0.73147084285675934</v>
      </c>
      <c r="O99" s="40">
        <f t="shared" si="146"/>
        <v>606.03883945979999</v>
      </c>
      <c r="P99" s="40">
        <f t="shared" si="147"/>
        <v>110.49836076722629</v>
      </c>
      <c r="Q99" s="40">
        <f t="shared" si="148"/>
        <v>599.30683559539364</v>
      </c>
      <c r="R99" s="40">
        <f>$C$91*L99*((1+COS(RADIANS(Insolation!$L$7)))/2)</f>
        <v>100.83352287888481</v>
      </c>
      <c r="S99" s="40">
        <f t="shared" si="149"/>
        <v>762.21647067904928</v>
      </c>
      <c r="T99" s="40">
        <f t="shared" si="150"/>
        <v>79.63116768648986</v>
      </c>
      <c r="U99" s="40">
        <f t="shared" si="151"/>
        <v>819.31746350244237</v>
      </c>
      <c r="V99" s="40">
        <f t="shared" si="152"/>
        <v>96.116305341081173</v>
      </c>
      <c r="Y99" s="48">
        <v>15</v>
      </c>
      <c r="Z99" s="40">
        <f t="shared" si="153"/>
        <v>42.783009616154835</v>
      </c>
      <c r="AA99" s="181">
        <f t="shared" si="134"/>
        <v>-45</v>
      </c>
      <c r="AB99" s="40">
        <f t="shared" si="154"/>
        <v>-69.342517918461184</v>
      </c>
      <c r="AC99" s="40">
        <f t="shared" si="155"/>
        <v>-69.342517918461184</v>
      </c>
      <c r="AD99" s="40">
        <f t="shared" si="156"/>
        <v>249.34251791846117</v>
      </c>
      <c r="AE99" s="40">
        <f t="shared" si="224"/>
        <v>-110.65748208153883</v>
      </c>
      <c r="AF99" s="40">
        <f t="shared" si="158"/>
        <v>1.472269013318128</v>
      </c>
      <c r="AG99" s="40">
        <f t="shared" si="159"/>
        <v>819.92152973813529</v>
      </c>
      <c r="AH99" s="41">
        <f>COS(RADIANS(Z99))*COS(RADIANS(AB99-Insolation!$L$6))*SIN(RADIANS(0))+(SIN(RADIANS(Z99))*COS(RADIANS(0)))</f>
        <v>0.67922369550266415</v>
      </c>
      <c r="AI99" s="41">
        <f>COS(RADIANS(Z99))*COS(RADIANS(AB99-Insolation!$L$6))*SIN(RADIANS(Insolation!$L$7))+SIN(RADIANS(Z99))*COS(RADIANS(Insolation!$L$7))</f>
        <v>0.74913030600954134</v>
      </c>
      <c r="AJ99" s="40">
        <f t="shared" si="160"/>
        <v>556.91013145093382</v>
      </c>
      <c r="AK99" s="40">
        <f t="shared" si="161"/>
        <v>104.67243045436012</v>
      </c>
      <c r="AL99" s="40">
        <f t="shared" si="162"/>
        <v>614.22806647654056</v>
      </c>
      <c r="AM99" s="40">
        <f>$X$91*AG99*((1+COS(RADIANS(Insolation!$L$7)))/2)</f>
        <v>95.517162768071145</v>
      </c>
      <c r="AN99" s="40">
        <f t="shared" si="163"/>
        <v>796.30997519897539</v>
      </c>
      <c r="AO99" s="40">
        <f t="shared" si="164"/>
        <v>77.708872818684441</v>
      </c>
      <c r="AP99" s="40">
        <f t="shared" si="165"/>
        <v>819.92152973813529</v>
      </c>
      <c r="AQ99" s="40">
        <f t="shared" si="166"/>
        <v>87.884212742408096</v>
      </c>
      <c r="AT99" s="48">
        <v>15</v>
      </c>
      <c r="AU99" s="40">
        <f t="shared" si="167"/>
        <v>34.481097961395342</v>
      </c>
      <c r="AV99" s="181">
        <f t="shared" si="135"/>
        <v>-45</v>
      </c>
      <c r="AW99" s="40">
        <f t="shared" si="168"/>
        <v>-59.000459113343076</v>
      </c>
      <c r="AX99" s="40">
        <f t="shared" si="169"/>
        <v>-59.000459113343076</v>
      </c>
      <c r="AY99" s="40">
        <f t="shared" si="170"/>
        <v>239.00045911334308</v>
      </c>
      <c r="AZ99" s="40">
        <f t="shared" si="225"/>
        <v>-120.99954088665692</v>
      </c>
      <c r="BA99" s="40">
        <f t="shared" si="172"/>
        <v>1.7663652539929446</v>
      </c>
      <c r="BB99" s="40">
        <f t="shared" si="173"/>
        <v>816.22673956979497</v>
      </c>
      <c r="BC99" s="41">
        <f>COS(RADIANS(AU99))*COS(RADIANS(AW99-Insolation!$L$6))*SIN(RADIANS(0))+(SIN(RADIANS(AU99))*COS(RADIANS(0)))</f>
        <v>0.56613432456252011</v>
      </c>
      <c r="BD99" s="41">
        <f>COS(RADIANS(AU99))*COS(RADIANS(AW99-Insolation!$L$6))*SIN(RADIANS(Insolation!$L$7))+SIN(RADIANS(AU99))*COS(RADIANS(Insolation!$L$7))</f>
        <v>0.75007653059971235</v>
      </c>
      <c r="BE99" s="40">
        <f t="shared" si="174"/>
        <v>462.09397389621387</v>
      </c>
      <c r="BF99" s="40">
        <f t="shared" si="175"/>
        <v>90.906631442632204</v>
      </c>
      <c r="BG99" s="40">
        <f t="shared" si="176"/>
        <v>612.23252099922672</v>
      </c>
      <c r="BH99" s="40">
        <f>$AS$91*BB99*((1+COS(RADIANS(Insolation!$L$7)))/2)</f>
        <v>82.95540167082514</v>
      </c>
      <c r="BI99" s="40">
        <f t="shared" si="177"/>
        <v>815.61584198992261</v>
      </c>
      <c r="BJ99" s="40">
        <f t="shared" si="178"/>
        <v>69.717398666041433</v>
      </c>
      <c r="BK99" s="40">
        <f t="shared" si="179"/>
        <v>816.22673956979497</v>
      </c>
      <c r="BL99" s="40">
        <f t="shared" si="180"/>
        <v>71.185997916330365</v>
      </c>
      <c r="BO99" s="48">
        <v>15</v>
      </c>
      <c r="BP99" s="40">
        <f t="shared" si="181"/>
        <v>25.271009071642474</v>
      </c>
      <c r="BQ99" s="181">
        <f t="shared" si="136"/>
        <v>-45</v>
      </c>
      <c r="BR99" s="40">
        <f t="shared" si="182"/>
        <v>-50.44292234037448</v>
      </c>
      <c r="BS99" s="40">
        <f t="shared" si="183"/>
        <v>-50.44292234037448</v>
      </c>
      <c r="BT99" s="40">
        <f t="shared" si="184"/>
        <v>230.44292234037448</v>
      </c>
      <c r="BU99" s="40">
        <f t="shared" si="226"/>
        <v>-129.55707765962552</v>
      </c>
      <c r="BV99" s="40">
        <f t="shared" si="186"/>
        <v>2.3424670168447927</v>
      </c>
      <c r="BW99" s="40">
        <f t="shared" si="187"/>
        <v>788.85549598787031</v>
      </c>
      <c r="BX99" s="41">
        <f>COS(RADIANS(BP99))*COS(RADIANS(BR99-Insolation!$L$6))*SIN(RADIANS(0))+(SIN(RADIANS(BP99))*COS(RADIANS(0)))</f>
        <v>0.42690035454456865</v>
      </c>
      <c r="BY99" s="41">
        <f>COS(RADIANS(BP99))*COS(RADIANS(BR99-Insolation!$L$6))*SIN(RADIANS(Insolation!$L$7))+SIN(RADIANS(BP99))*COS(RADIANS(Insolation!$L$7))</f>
        <v>0.71959156322630768</v>
      </c>
      <c r="BZ99" s="40">
        <f t="shared" si="188"/>
        <v>336.76269092165342</v>
      </c>
      <c r="CA99" s="40">
        <f t="shared" si="189"/>
        <v>71.958238732202574</v>
      </c>
      <c r="CB99" s="40">
        <f t="shared" si="190"/>
        <v>567.65375951757585</v>
      </c>
      <c r="CC99" s="40">
        <f>$BN$91*BW99*((1+COS(RADIANS(Insolation!$L$7)))/2)</f>
        <v>65.664347064955436</v>
      </c>
      <c r="CD99" s="40">
        <f t="shared" si="191"/>
        <v>777.80977682860259</v>
      </c>
      <c r="CE99" s="40">
        <f t="shared" si="192"/>
        <v>56.549180019283618</v>
      </c>
      <c r="CF99" s="40">
        <f t="shared" si="193"/>
        <v>788.85549598787031</v>
      </c>
      <c r="CG99" s="40">
        <f t="shared" si="194"/>
        <v>51.338618179691281</v>
      </c>
      <c r="CJ99" s="48">
        <v>15</v>
      </c>
      <c r="CK99" s="40">
        <f t="shared" si="195"/>
        <v>17.509795828331949</v>
      </c>
      <c r="CL99" s="181">
        <f t="shared" si="137"/>
        <v>-45</v>
      </c>
      <c r="CM99" s="40">
        <f t="shared" si="196"/>
        <v>-44.462397537009139</v>
      </c>
      <c r="CN99" s="40">
        <f t="shared" si="197"/>
        <v>-44.462397537009139</v>
      </c>
      <c r="CO99" s="40">
        <f t="shared" si="198"/>
        <v>224.46239753700914</v>
      </c>
      <c r="CP99" s="40">
        <f t="shared" si="227"/>
        <v>-135.53760246299086</v>
      </c>
      <c r="CQ99" s="40">
        <f t="shared" si="200"/>
        <v>3.3237073055412667</v>
      </c>
      <c r="CR99" s="40">
        <f t="shared" si="201"/>
        <v>727.55550075132976</v>
      </c>
      <c r="CS99" s="41">
        <f>COS(RADIANS(CK99))*COS(RADIANS(CM99-Insolation!$L$6))*SIN(RADIANS(0))+(SIN(RADIANS(CK99))*COS(RADIANS(0)))</f>
        <v>0.30086885157811744</v>
      </c>
      <c r="CT99" s="41">
        <f>COS(RADIANS(CK99))*COS(RADIANS(CM99-Insolation!$L$6))*SIN(RADIANS(Insolation!$L$7))+SIN(RADIANS(CK99))*COS(RADIANS(Insolation!$L$7))</f>
        <v>0.67257479958873845</v>
      </c>
      <c r="CU99" s="40">
        <f t="shared" si="202"/>
        <v>218.89878797039475</v>
      </c>
      <c r="CV99" s="40">
        <f t="shared" si="203"/>
        <v>52.011916828740453</v>
      </c>
      <c r="CW99" s="40">
        <f t="shared" si="204"/>
        <v>489.33549510750987</v>
      </c>
      <c r="CX99" s="40">
        <f>$CI$91*CR99*((1+COS(RADIANS(Insolation!$L$7)))/2)</f>
        <v>47.462648034874569</v>
      </c>
      <c r="CY99" s="40">
        <f t="shared" si="205"/>
        <v>687.30385430402475</v>
      </c>
      <c r="CZ99" s="40">
        <f t="shared" si="206"/>
        <v>41.532343555085902</v>
      </c>
      <c r="DA99" s="40">
        <f t="shared" si="207"/>
        <v>727.55550075132976</v>
      </c>
      <c r="DB99" s="40">
        <f t="shared" si="208"/>
        <v>33.830341256690069</v>
      </c>
      <c r="DE99" s="48">
        <v>15</v>
      </c>
      <c r="DF99" s="40">
        <f t="shared" si="209"/>
        <v>14.049096722314172</v>
      </c>
      <c r="DG99" s="181">
        <f t="shared" si="138"/>
        <v>-45</v>
      </c>
      <c r="DH99" s="40">
        <f t="shared" si="210"/>
        <v>-42.012081444248956</v>
      </c>
      <c r="DI99" s="40">
        <f t="shared" si="211"/>
        <v>-42.012081444248956</v>
      </c>
      <c r="DJ99" s="40">
        <f t="shared" si="212"/>
        <v>222.01208144424896</v>
      </c>
      <c r="DK99" s="40">
        <f t="shared" si="228"/>
        <v>-137.98791855575104</v>
      </c>
      <c r="DL99" s="40">
        <f t="shared" si="214"/>
        <v>4.1194092744655153</v>
      </c>
      <c r="DM99" s="40">
        <f t="shared" si="215"/>
        <v>685.86310579008841</v>
      </c>
      <c r="DN99" s="41">
        <f>COS(RADIANS(DF99))*COS(RADIANS(DH99-Insolation!$L$6))*SIN(RADIANS(0))+(SIN(RADIANS(DF99))*COS(RADIANS(0)))</f>
        <v>0.24275325255943353</v>
      </c>
      <c r="DO99" s="41">
        <f>COS(RADIANS(DF99))*COS(RADIANS(DH99-Insolation!$L$6))*SIN(RADIANS(Insolation!$L$7))+SIN(RADIANS(DF99))*COS(RADIANS(Insolation!$L$7))</f>
        <v>0.64598148633699548</v>
      </c>
      <c r="DP99" s="40">
        <f t="shared" si="216"/>
        <v>166.49549974105881</v>
      </c>
      <c r="DQ99" s="40">
        <f t="shared" si="217"/>
        <v>40.174990260328251</v>
      </c>
      <c r="DR99" s="40">
        <f t="shared" si="218"/>
        <v>443.05486850198929</v>
      </c>
      <c r="DS99" s="40">
        <f>$DD$91*DM99*((1+COS(RADIANS(Insolation!$L$7)))/2)</f>
        <v>36.661048828656483</v>
      </c>
      <c r="DT99" s="40">
        <f t="shared" si="219"/>
        <v>629.7616074126488</v>
      </c>
      <c r="DU99" s="40">
        <f t="shared" si="220"/>
        <v>32.28378572301289</v>
      </c>
      <c r="DV99" s="40">
        <f t="shared" si="221"/>
        <v>685.86310579008841</v>
      </c>
      <c r="DW99" s="40">
        <f t="shared" si="222"/>
        <v>24.963799908783251</v>
      </c>
    </row>
    <row r="100" spans="2:127" x14ac:dyDescent="0.15">
      <c r="D100" s="48">
        <v>15.5</v>
      </c>
      <c r="E100" s="40">
        <f t="shared" si="139"/>
        <v>42.036278436797787</v>
      </c>
      <c r="F100" s="181">
        <f t="shared" si="133"/>
        <v>-52.5</v>
      </c>
      <c r="G100" s="40">
        <f t="shared" si="140"/>
        <v>-83.578977999360106</v>
      </c>
      <c r="H100" s="40">
        <f t="shared" si="141"/>
        <v>-83.578977999360106</v>
      </c>
      <c r="I100" s="40">
        <f t="shared" si="142"/>
        <v>263.57897799936012</v>
      </c>
      <c r="J100" s="40">
        <f t="shared" si="223"/>
        <v>-96.42102200063988</v>
      </c>
      <c r="K100" s="40">
        <f t="shared" si="144"/>
        <v>1.4934266483875267</v>
      </c>
      <c r="L100" s="40">
        <f t="shared" si="145"/>
        <v>795.45460781738177</v>
      </c>
      <c r="M100" s="41">
        <f>COS(RADIANS(E100))*COS(RADIANS(G100-Insolation!$L$6))*SIN(RADIANS(0))+(SIN(RADIANS(E100))*COS(RADIANS(0)))</f>
        <v>0.66960101527565064</v>
      </c>
      <c r="N100" s="41">
        <f>COS(RADIANS(E100))*COS(RADIANS(G100-Insolation!$L$6))*SIN(RADIANS(Insolation!$L$7))+SIN(RADIANS(E100))*COS(RADIANS(Insolation!$L$7))</f>
        <v>0.64568742831646075</v>
      </c>
      <c r="O100" s="40">
        <f t="shared" si="146"/>
        <v>532.63721300021336</v>
      </c>
      <c r="P100" s="40">
        <f t="shared" si="147"/>
        <v>107.28006437555391</v>
      </c>
      <c r="Q100" s="40">
        <f t="shared" si="148"/>
        <v>513.61504006408404</v>
      </c>
      <c r="R100" s="40">
        <f>$C$91*L100*((1+COS(RADIANS(Insolation!$L$7)))/2)</f>
        <v>97.896717657635051</v>
      </c>
      <c r="S100" s="40">
        <f t="shared" si="149"/>
        <v>740.01669775728476</v>
      </c>
      <c r="T100" s="40">
        <f t="shared" si="150"/>
        <v>72.441777110768143</v>
      </c>
      <c r="U100" s="40">
        <f t="shared" si="151"/>
        <v>795.45460781738177</v>
      </c>
      <c r="V100" s="40">
        <f t="shared" si="152"/>
        <v>89.557452200130982</v>
      </c>
      <c r="Y100" s="48">
        <v>15.5</v>
      </c>
      <c r="Z100" s="40">
        <f t="shared" si="153"/>
        <v>37.3048898671667</v>
      </c>
      <c r="AA100" s="181">
        <f t="shared" si="134"/>
        <v>-52.5</v>
      </c>
      <c r="AB100" s="40">
        <f t="shared" si="154"/>
        <v>-75.621668639780978</v>
      </c>
      <c r="AC100" s="40">
        <f t="shared" si="155"/>
        <v>-75.621668639780978</v>
      </c>
      <c r="AD100" s="40">
        <f t="shared" si="156"/>
        <v>255.62166863978098</v>
      </c>
      <c r="AE100" s="40">
        <f t="shared" si="224"/>
        <v>-104.37833136021902</v>
      </c>
      <c r="AF100" s="40">
        <f t="shared" si="158"/>
        <v>1.6500117582584715</v>
      </c>
      <c r="AG100" s="40">
        <f t="shared" si="159"/>
        <v>790.9238737412561</v>
      </c>
      <c r="AH100" s="41">
        <f>COS(RADIANS(Z100))*COS(RADIANS(AB100-Insolation!$L$6))*SIN(RADIANS(0))+(SIN(RADIANS(Z100))*COS(RADIANS(0)))</f>
        <v>0.60605628717183468</v>
      </c>
      <c r="AI100" s="41">
        <f>COS(RADIANS(Z100))*COS(RADIANS(AB100-Insolation!$L$6))*SIN(RADIANS(Insolation!$L$7))+SIN(RADIANS(Z100))*COS(RADIANS(Insolation!$L$7))</f>
        <v>0.65957587533039619</v>
      </c>
      <c r="AJ100" s="40">
        <f t="shared" si="160"/>
        <v>479.34438635519064</v>
      </c>
      <c r="AK100" s="40">
        <f t="shared" si="161"/>
        <v>100.97054555368898</v>
      </c>
      <c r="AL100" s="40">
        <f t="shared" si="162"/>
        <v>521.67430634259676</v>
      </c>
      <c r="AM100" s="40">
        <f>$X$91*AG100*((1+COS(RADIANS(Insolation!$L$7)))/2)</f>
        <v>92.139066538995365</v>
      </c>
      <c r="AN100" s="40">
        <f t="shared" si="163"/>
        <v>768.14737440097213</v>
      </c>
      <c r="AO100" s="40">
        <f t="shared" si="164"/>
        <v>70.633459193372317</v>
      </c>
      <c r="AP100" s="40">
        <f t="shared" si="165"/>
        <v>790.9238737412561</v>
      </c>
      <c r="AQ100" s="40">
        <f t="shared" si="166"/>
        <v>81.082189752836143</v>
      </c>
      <c r="AT100" s="48">
        <v>15.5</v>
      </c>
      <c r="AU100" s="40">
        <f t="shared" si="167"/>
        <v>29.396714781444615</v>
      </c>
      <c r="AV100" s="181">
        <f t="shared" si="135"/>
        <v>-52.5</v>
      </c>
      <c r="AW100" s="40">
        <f t="shared" si="168"/>
        <v>-65.494152682074201</v>
      </c>
      <c r="AX100" s="40">
        <f t="shared" si="169"/>
        <v>-65.494152682074201</v>
      </c>
      <c r="AY100" s="40">
        <f t="shared" si="170"/>
        <v>245.4941526820742</v>
      </c>
      <c r="AZ100" s="40">
        <f t="shared" si="225"/>
        <v>-114.5058473179258</v>
      </c>
      <c r="BA100" s="40">
        <f t="shared" si="172"/>
        <v>2.037266496700282</v>
      </c>
      <c r="BB100" s="40">
        <f t="shared" si="173"/>
        <v>775.62878891235687</v>
      </c>
      <c r="BC100" s="41">
        <f>COS(RADIANS(AU100))*COS(RADIANS(AW100-Insolation!$L$6))*SIN(RADIANS(0))+(SIN(RADIANS(AU100))*COS(RADIANS(0)))</f>
        <v>0.49085379925487371</v>
      </c>
      <c r="BD100" s="41">
        <f>COS(RADIANS(AU100))*COS(RADIANS(AW100-Insolation!$L$6))*SIN(RADIANS(Insolation!$L$7))+SIN(RADIANS(AU100))*COS(RADIANS(Insolation!$L$7))</f>
        <v>0.65793571628153491</v>
      </c>
      <c r="BE100" s="40">
        <f t="shared" si="174"/>
        <v>380.72033784908683</v>
      </c>
      <c r="BF100" s="40">
        <f t="shared" si="175"/>
        <v>86.385065609482595</v>
      </c>
      <c r="BG100" s="40">
        <f t="shared" si="176"/>
        <v>510.31388280163094</v>
      </c>
      <c r="BH100" s="40">
        <f>$AS$91*BB100*((1+COS(RADIANS(Insolation!$L$7)))/2)</f>
        <v>78.82931863466392</v>
      </c>
      <c r="BI100" s="40">
        <f t="shared" si="177"/>
        <v>775.04827650440075</v>
      </c>
      <c r="BJ100" s="40">
        <f t="shared" si="178"/>
        <v>62.922223701086729</v>
      </c>
      <c r="BK100" s="40">
        <f t="shared" si="179"/>
        <v>775.62878891235687</v>
      </c>
      <c r="BL100" s="40">
        <f t="shared" si="180"/>
        <v>64.393751631389335</v>
      </c>
      <c r="BO100" s="48">
        <v>15.5</v>
      </c>
      <c r="BP100" s="40">
        <f t="shared" si="181"/>
        <v>20.647547573742681</v>
      </c>
      <c r="BQ100" s="181">
        <f t="shared" si="136"/>
        <v>-52.5</v>
      </c>
      <c r="BR100" s="40">
        <f t="shared" si="182"/>
        <v>-56.713775505256237</v>
      </c>
      <c r="BS100" s="40">
        <f t="shared" si="183"/>
        <v>-56.713775505256237</v>
      </c>
      <c r="BT100" s="40">
        <f t="shared" si="184"/>
        <v>236.71377550525625</v>
      </c>
      <c r="BU100" s="40">
        <f t="shared" si="226"/>
        <v>-123.28622449474375</v>
      </c>
      <c r="BV100" s="40">
        <f t="shared" si="186"/>
        <v>2.8359274690222369</v>
      </c>
      <c r="BW100" s="40">
        <f t="shared" si="187"/>
        <v>725.13206163421398</v>
      </c>
      <c r="BX100" s="41">
        <f>COS(RADIANS(BP100))*COS(RADIANS(BR100-Insolation!$L$6))*SIN(RADIANS(0))+(SIN(RADIANS(BP100))*COS(RADIANS(0)))</f>
        <v>0.35261832713400715</v>
      </c>
      <c r="BY100" s="41">
        <f>COS(RADIANS(BP100))*COS(RADIANS(BR100-Insolation!$L$6))*SIN(RADIANS(Insolation!$L$7))+SIN(RADIANS(BP100))*COS(RADIANS(Insolation!$L$7))</f>
        <v>0.62867287652953574</v>
      </c>
      <c r="BZ100" s="40">
        <f t="shared" si="188"/>
        <v>255.6948545246903</v>
      </c>
      <c r="CA100" s="40">
        <f t="shared" si="189"/>
        <v>66.145480723444592</v>
      </c>
      <c r="CB100" s="40">
        <f t="shared" si="190"/>
        <v>455.87085905137388</v>
      </c>
      <c r="CC100" s="40">
        <f>$BN$91*BW100*((1+COS(RADIANS(Insolation!$L$7)))/2)</f>
        <v>60.360007130897685</v>
      </c>
      <c r="CD100" s="40">
        <f t="shared" si="191"/>
        <v>714.97861129137004</v>
      </c>
      <c r="CE100" s="40">
        <f t="shared" si="192"/>
        <v>49.732402870767984</v>
      </c>
      <c r="CF100" s="40">
        <f t="shared" si="193"/>
        <v>725.13206163421398</v>
      </c>
      <c r="CG100" s="40">
        <f t="shared" si="194"/>
        <v>44.734794741810177</v>
      </c>
      <c r="CJ100" s="48">
        <v>15.5</v>
      </c>
      <c r="CK100" s="40">
        <f t="shared" si="195"/>
        <v>13.279405325056469</v>
      </c>
      <c r="CL100" s="181">
        <f t="shared" si="137"/>
        <v>-52.5</v>
      </c>
      <c r="CM100" s="40">
        <f t="shared" si="196"/>
        <v>-50.358512166594522</v>
      </c>
      <c r="CN100" s="40">
        <f t="shared" si="197"/>
        <v>-50.358512166594522</v>
      </c>
      <c r="CO100" s="40">
        <f t="shared" si="198"/>
        <v>230.35851216659452</v>
      </c>
      <c r="CP100" s="40">
        <f t="shared" si="227"/>
        <v>-129.64148783340548</v>
      </c>
      <c r="CQ100" s="40">
        <f t="shared" si="200"/>
        <v>4.3535061221949105</v>
      </c>
      <c r="CR100" s="40">
        <f t="shared" si="201"/>
        <v>621.22343208109294</v>
      </c>
      <c r="CS100" s="41">
        <f>COS(RADIANS(CK100))*COS(RADIANS(CM100-Insolation!$L$6))*SIN(RADIANS(0))+(SIN(RADIANS(CK100))*COS(RADIANS(0)))</f>
        <v>0.2296999181652303</v>
      </c>
      <c r="CT100" s="41">
        <f>COS(RADIANS(CK100))*COS(RADIANS(CM100-Insolation!$L$6))*SIN(RADIANS(Insolation!$L$7))+SIN(RADIANS(CK100))*COS(RADIANS(Insolation!$L$7))</f>
        <v>0.5854664345498255</v>
      </c>
      <c r="CU100" s="40">
        <f t="shared" si="202"/>
        <v>142.69497151135056</v>
      </c>
      <c r="CV100" s="40">
        <f t="shared" si="203"/>
        <v>44.410387177472579</v>
      </c>
      <c r="CW100" s="40">
        <f t="shared" si="204"/>
        <v>363.70546783932315</v>
      </c>
      <c r="CX100" s="40">
        <f>$CI$91*CR100*((1+COS(RADIANS(Insolation!$L$7)))/2)</f>
        <v>40.525992968829641</v>
      </c>
      <c r="CY100" s="40">
        <f t="shared" si="205"/>
        <v>586.85455448057019</v>
      </c>
      <c r="CZ100" s="40">
        <f t="shared" si="206"/>
        <v>34.112237813995357</v>
      </c>
      <c r="DA100" s="40">
        <f t="shared" si="207"/>
        <v>621.22343208109294</v>
      </c>
      <c r="DB100" s="40">
        <f t="shared" si="208"/>
        <v>27.305724738912115</v>
      </c>
      <c r="DE100" s="48">
        <v>15.5</v>
      </c>
      <c r="DF100" s="40">
        <f t="shared" si="209"/>
        <v>9.9959561059515902</v>
      </c>
      <c r="DG100" s="181">
        <f t="shared" si="138"/>
        <v>-52.5</v>
      </c>
      <c r="DH100" s="40">
        <f t="shared" si="210"/>
        <v>-47.704838637674108</v>
      </c>
      <c r="DI100" s="40">
        <f t="shared" si="211"/>
        <v>-47.704838637674108</v>
      </c>
      <c r="DJ100" s="40">
        <f t="shared" si="212"/>
        <v>227.7048386376741</v>
      </c>
      <c r="DK100" s="40">
        <f t="shared" si="228"/>
        <v>-132.2951613623259</v>
      </c>
      <c r="DL100" s="40">
        <f t="shared" si="214"/>
        <v>5.7610765118540304</v>
      </c>
      <c r="DM100" s="40">
        <f t="shared" si="215"/>
        <v>543.13059465384276</v>
      </c>
      <c r="DN100" s="41">
        <f>COS(RADIANS(DF100))*COS(RADIANS(DH100-Insolation!$L$6))*SIN(RADIANS(0))+(SIN(RADIANS(DF100))*COS(RADIANS(0)))</f>
        <v>0.17357867022637058</v>
      </c>
      <c r="DO100" s="41">
        <f>COS(RADIANS(DF100))*COS(RADIANS(DH100-Insolation!$L$6))*SIN(RADIANS(Insolation!$L$7))+SIN(RADIANS(DF100))*COS(RADIANS(Insolation!$L$7))</f>
        <v>0.5613141395000727</v>
      </c>
      <c r="DP100" s="40">
        <f t="shared" si="216"/>
        <v>94.275886379271924</v>
      </c>
      <c r="DQ100" s="40">
        <f t="shared" si="217"/>
        <v>31.814317122610493</v>
      </c>
      <c r="DR100" s="40">
        <f t="shared" si="218"/>
        <v>304.86688237428456</v>
      </c>
      <c r="DS100" s="40">
        <f>$DD$91*DM100*((1+COS(RADIANS(Insolation!$L$7)))/2)</f>
        <v>29.031649439729215</v>
      </c>
      <c r="DT100" s="40">
        <f t="shared" si="219"/>
        <v>498.70417789884095</v>
      </c>
      <c r="DU100" s="40">
        <f t="shared" si="220"/>
        <v>24.647784507668934</v>
      </c>
      <c r="DV100" s="40">
        <f t="shared" si="221"/>
        <v>543.13059465384276</v>
      </c>
      <c r="DW100" s="40">
        <f t="shared" si="222"/>
        <v>18.668301991456637</v>
      </c>
    </row>
    <row r="101" spans="2:127" x14ac:dyDescent="0.15">
      <c r="D101" s="48">
        <v>16</v>
      </c>
      <c r="E101" s="40">
        <f t="shared" si="139"/>
        <v>36.30556868491054</v>
      </c>
      <c r="F101" s="181">
        <f t="shared" si="133"/>
        <v>-60</v>
      </c>
      <c r="G101" s="40">
        <f t="shared" si="140"/>
        <v>-88.718500112144284</v>
      </c>
      <c r="H101" s="40">
        <f t="shared" si="141"/>
        <v>-88.718500112144284</v>
      </c>
      <c r="I101" s="40">
        <f t="shared" si="142"/>
        <v>268.71850011214428</v>
      </c>
      <c r="J101" s="40">
        <f t="shared" si="223"/>
        <v>-91.281499887855716</v>
      </c>
      <c r="K101" s="40">
        <f t="shared" si="144"/>
        <v>1.6889281308455515</v>
      </c>
      <c r="L101" s="40">
        <f t="shared" si="145"/>
        <v>763.62500441888858</v>
      </c>
      <c r="M101" s="41">
        <f>COS(RADIANS(E101))*COS(RADIANS(G101-Insolation!$L$6))*SIN(RADIANS(0))+(SIN(RADIANS(E101))*COS(RADIANS(0)))</f>
        <v>0.59209150569323288</v>
      </c>
      <c r="N101" s="41">
        <f>COS(RADIANS(E101))*COS(RADIANS(G101-Insolation!$L$6))*SIN(RADIANS(Insolation!$L$7))+SIN(RADIANS(E101))*COS(RADIANS(Insolation!$L$7))</f>
        <v>0.54948502794875487</v>
      </c>
      <c r="O101" s="40">
        <f t="shared" si="146"/>
        <v>452.13587865138135</v>
      </c>
      <c r="P101" s="40">
        <f t="shared" si="147"/>
        <v>102.98732175004054</v>
      </c>
      <c r="Q101" s="40">
        <f t="shared" si="148"/>
        <v>419.60050689548103</v>
      </c>
      <c r="R101" s="40">
        <f>$C$91*L101*((1+COS(RADIANS(Insolation!$L$7)))/2)</f>
        <v>93.979443602731152</v>
      </c>
      <c r="S101" s="40">
        <f t="shared" si="149"/>
        <v>710.4054065957348</v>
      </c>
      <c r="T101" s="40">
        <f t="shared" si="150"/>
        <v>64.637272981875725</v>
      </c>
      <c r="U101" s="40">
        <f t="shared" si="151"/>
        <v>763.62500441888858</v>
      </c>
      <c r="V101" s="40">
        <f t="shared" si="152"/>
        <v>81.982620076167734</v>
      </c>
      <c r="Y101" s="48">
        <v>16</v>
      </c>
      <c r="Z101" s="40">
        <f t="shared" si="153"/>
        <v>31.677633460483612</v>
      </c>
      <c r="AA101" s="181">
        <f t="shared" si="134"/>
        <v>-60</v>
      </c>
      <c r="AB101" s="40">
        <f t="shared" si="154"/>
        <v>-81.238743842650109</v>
      </c>
      <c r="AC101" s="40">
        <f t="shared" si="155"/>
        <v>-81.238743842650109</v>
      </c>
      <c r="AD101" s="40">
        <f t="shared" si="156"/>
        <v>261.23874384265014</v>
      </c>
      <c r="AE101" s="40">
        <f t="shared" si="224"/>
        <v>-98.761256157349862</v>
      </c>
      <c r="AF101" s="40">
        <f t="shared" si="158"/>
        <v>1.9042559888611805</v>
      </c>
      <c r="AG101" s="40">
        <f t="shared" si="159"/>
        <v>751.21900220885937</v>
      </c>
      <c r="AH101" s="41">
        <f>COS(RADIANS(Z101))*COS(RADIANS(AB101-Insolation!$L$6))*SIN(RADIANS(0))+(SIN(RADIANS(Z101))*COS(RADIANS(0)))</f>
        <v>0.52513948011687184</v>
      </c>
      <c r="AI101" s="41">
        <f>COS(RADIANS(Z101))*COS(RADIANS(AB101-Insolation!$L$6))*SIN(RADIANS(Insolation!$L$7))+SIN(RADIANS(Z101))*COS(RADIANS(Insolation!$L$7))</f>
        <v>0.55914444297175359</v>
      </c>
      <c r="AJ101" s="40">
        <f t="shared" si="160"/>
        <v>394.49475627387562</v>
      </c>
      <c r="AK101" s="40">
        <f t="shared" si="161"/>
        <v>95.901761220752334</v>
      </c>
      <c r="AL101" s="40">
        <f t="shared" si="162"/>
        <v>420.0399305398692</v>
      </c>
      <c r="AM101" s="40">
        <f>$X$91*AG101*((1+COS(RADIANS(Insolation!$L$7)))/2)</f>
        <v>87.513627958236867</v>
      </c>
      <c r="AN101" s="40">
        <f t="shared" si="163"/>
        <v>729.5858973345762</v>
      </c>
      <c r="AO101" s="40">
        <f t="shared" si="164"/>
        <v>62.684177861191941</v>
      </c>
      <c r="AP101" s="40">
        <f t="shared" si="165"/>
        <v>751.21900220885937</v>
      </c>
      <c r="AQ101" s="40">
        <f t="shared" si="166"/>
        <v>73.131781125255301</v>
      </c>
      <c r="AT101" s="48">
        <v>16</v>
      </c>
      <c r="AU101" s="40">
        <f t="shared" si="167"/>
        <v>24.054163731779436</v>
      </c>
      <c r="AV101" s="181">
        <f t="shared" si="135"/>
        <v>-60</v>
      </c>
      <c r="AW101" s="40">
        <f t="shared" si="168"/>
        <v>-71.382797990653643</v>
      </c>
      <c r="AX101" s="40">
        <f t="shared" si="169"/>
        <v>-71.382797990653643</v>
      </c>
      <c r="AY101" s="40">
        <f t="shared" si="170"/>
        <v>251.38279799065364</v>
      </c>
      <c r="AZ101" s="40">
        <f t="shared" si="225"/>
        <v>-108.61720200934636</v>
      </c>
      <c r="BA101" s="40">
        <f t="shared" si="172"/>
        <v>2.4533852622316283</v>
      </c>
      <c r="BB101" s="40">
        <f t="shared" si="173"/>
        <v>717.16608414471239</v>
      </c>
      <c r="BC101" s="41">
        <f>COS(RADIANS(AU101))*COS(RADIANS(AW101-Insolation!$L$6))*SIN(RADIANS(0))+(SIN(RADIANS(AU101))*COS(RADIANS(0)))</f>
        <v>0.40760006811583605</v>
      </c>
      <c r="BD101" s="41">
        <f>COS(RADIANS(AU101))*COS(RADIANS(AW101-Insolation!$L$6))*SIN(RADIANS(Insolation!$L$7))+SIN(RADIANS(AU101))*COS(RADIANS(Insolation!$L$7))</f>
        <v>0.55460376619834029</v>
      </c>
      <c r="BE101" s="40">
        <f t="shared" si="174"/>
        <v>292.31694474775219</v>
      </c>
      <c r="BF101" s="40">
        <f t="shared" si="175"/>
        <v>79.873826393951816</v>
      </c>
      <c r="BG101" s="40">
        <f t="shared" si="176"/>
        <v>397.74301125637328</v>
      </c>
      <c r="BH101" s="40">
        <f>$AS$91*BB101*((1+COS(RADIANS(Insolation!$L$7)))/2)</f>
        <v>72.8875907768888</v>
      </c>
      <c r="BI101" s="40">
        <f t="shared" si="177"/>
        <v>716.62932762359981</v>
      </c>
      <c r="BJ101" s="40">
        <f t="shared" si="178"/>
        <v>54.792320078459845</v>
      </c>
      <c r="BK101" s="40">
        <f t="shared" si="179"/>
        <v>717.16608414471239</v>
      </c>
      <c r="BL101" s="40">
        <f t="shared" si="180"/>
        <v>56.215201736399528</v>
      </c>
      <c r="BO101" s="48">
        <v>16</v>
      </c>
      <c r="BP101" s="40">
        <f t="shared" si="181"/>
        <v>15.692167939097597</v>
      </c>
      <c r="BQ101" s="181">
        <f t="shared" si="136"/>
        <v>-60</v>
      </c>
      <c r="BR101" s="40">
        <f t="shared" si="182"/>
        <v>-62.493340449251164</v>
      </c>
      <c r="BS101" s="40">
        <f t="shared" si="183"/>
        <v>-62.493340449251164</v>
      </c>
      <c r="BT101" s="40">
        <f t="shared" si="184"/>
        <v>242.49334044925115</v>
      </c>
      <c r="BU101" s="40">
        <f t="shared" si="226"/>
        <v>-117.50665955074885</v>
      </c>
      <c r="BV101" s="40">
        <f t="shared" si="186"/>
        <v>3.6972834660099059</v>
      </c>
      <c r="BW101" s="40">
        <f t="shared" si="187"/>
        <v>625.98592801783559</v>
      </c>
      <c r="BX101" s="41">
        <f>COS(RADIANS(BP101))*COS(RADIANS(BR101-Insolation!$L$6))*SIN(RADIANS(0))+(SIN(RADIANS(BP101))*COS(RADIANS(0)))</f>
        <v>0.27046884805919308</v>
      </c>
      <c r="BY101" s="41">
        <f>COS(RADIANS(BP101))*COS(RADIANS(BR101-Insolation!$L$6))*SIN(RADIANS(Insolation!$L$7))+SIN(RADIANS(BP101))*COS(RADIANS(Insolation!$L$7))</f>
        <v>0.52671148987477268</v>
      </c>
      <c r="BZ101" s="40">
        <f t="shared" si="188"/>
        <v>169.30969285224896</v>
      </c>
      <c r="CA101" s="40">
        <f t="shared" si="189"/>
        <v>57.101516159050014</v>
      </c>
      <c r="CB101" s="40">
        <f t="shared" si="190"/>
        <v>329.71398078691641</v>
      </c>
      <c r="CC101" s="40">
        <f>$BN$91*BW101*((1+COS(RADIANS(Insolation!$L$7)))/2)</f>
        <v>52.107081010656245</v>
      </c>
      <c r="CD101" s="40">
        <f t="shared" si="191"/>
        <v>617.22074251338563</v>
      </c>
      <c r="CE101" s="40">
        <f t="shared" si="192"/>
        <v>40.748348956205689</v>
      </c>
      <c r="CF101" s="40">
        <f t="shared" si="193"/>
        <v>625.98592801783559</v>
      </c>
      <c r="CG101" s="40">
        <f t="shared" si="194"/>
        <v>36.272848728510837</v>
      </c>
      <c r="CJ101" s="48">
        <v>16</v>
      </c>
      <c r="CK101" s="40">
        <f t="shared" si="195"/>
        <v>8.6844912848956639</v>
      </c>
      <c r="CL101" s="181">
        <f t="shared" si="137"/>
        <v>-60</v>
      </c>
      <c r="CM101" s="40">
        <f t="shared" si="196"/>
        <v>-55.853147060118161</v>
      </c>
      <c r="CN101" s="40">
        <f t="shared" si="197"/>
        <v>-55.853147060118161</v>
      </c>
      <c r="CO101" s="40">
        <f t="shared" si="198"/>
        <v>235.85314706011815</v>
      </c>
      <c r="CP101" s="40">
        <f t="shared" si="227"/>
        <v>-124.14685293988185</v>
      </c>
      <c r="CQ101" s="40">
        <f t="shared" si="200"/>
        <v>6.6228125643767077</v>
      </c>
      <c r="CR101" s="40">
        <f t="shared" si="201"/>
        <v>438.5688273491221</v>
      </c>
      <c r="CS101" s="41">
        <f>COS(RADIANS(CK101))*COS(RADIANS(CM101-Insolation!$L$6))*SIN(RADIANS(0))+(SIN(RADIANS(CK101))*COS(RADIANS(0)))</f>
        <v>0.15099325102130728</v>
      </c>
      <c r="CT101" s="41">
        <f>COS(RADIANS(CK101))*COS(RADIANS(CM101-Insolation!$L$6))*SIN(RADIANS(Insolation!$L$7))+SIN(RADIANS(CK101))*COS(RADIANS(Insolation!$L$7))</f>
        <v>0.48777815933068724</v>
      </c>
      <c r="CU101" s="40">
        <f t="shared" si="202"/>
        <v>66.220933038046368</v>
      </c>
      <c r="CV101" s="40">
        <f t="shared" si="203"/>
        <v>31.352667044925887</v>
      </c>
      <c r="CW101" s="40">
        <f t="shared" si="204"/>
        <v>213.92429534417275</v>
      </c>
      <c r="CX101" s="40">
        <f>$CI$91*CR101*((1+COS(RADIANS(Insolation!$L$7)))/2)</f>
        <v>28.610377998713808</v>
      </c>
      <c r="CY101" s="40">
        <f t="shared" si="205"/>
        <v>414.30522496684881</v>
      </c>
      <c r="CZ101" s="40">
        <f t="shared" si="206"/>
        <v>22.995384356963783</v>
      </c>
      <c r="DA101" s="40">
        <f t="shared" si="207"/>
        <v>438.5688273491221</v>
      </c>
      <c r="DB101" s="40">
        <f t="shared" si="208"/>
        <v>18.043354085113929</v>
      </c>
      <c r="DE101" s="48">
        <v>16</v>
      </c>
      <c r="DF101" s="40">
        <f t="shared" si="209"/>
        <v>5.5709093284908393</v>
      </c>
      <c r="DG101" s="181">
        <f t="shared" si="138"/>
        <v>-60</v>
      </c>
      <c r="DH101" s="40">
        <f t="shared" si="210"/>
        <v>-53.030982238242558</v>
      </c>
      <c r="DI101" s="40">
        <f t="shared" si="211"/>
        <v>-53.030982238242558</v>
      </c>
      <c r="DJ101" s="40">
        <f t="shared" si="212"/>
        <v>233.03098223824256</v>
      </c>
      <c r="DK101" s="40">
        <f t="shared" si="228"/>
        <v>-126.96901776175744</v>
      </c>
      <c r="DL101" s="40">
        <f t="shared" si="214"/>
        <v>10.301039389520557</v>
      </c>
      <c r="DM101" s="40">
        <f t="shared" si="215"/>
        <v>284.88629869002574</v>
      </c>
      <c r="DN101" s="41">
        <f>COS(RADIANS(DF101))*COS(RADIANS(DH101-Insolation!$L$6))*SIN(RADIANS(0))+(SIN(RADIANS(DF101))*COS(RADIANS(0)))</f>
        <v>9.7077582386231723E-2</v>
      </c>
      <c r="DO101" s="41">
        <f>COS(RADIANS(DF101))*COS(RADIANS(DH101-Insolation!$L$6))*SIN(RADIANS(Insolation!$L$7))+SIN(RADIANS(DF101))*COS(RADIANS(Insolation!$L$7))</f>
        <v>0.46636336093609976</v>
      </c>
      <c r="DP101" s="40">
        <f t="shared" si="216"/>
        <v>27.656073131789594</v>
      </c>
      <c r="DQ101" s="40">
        <f t="shared" si="217"/>
        <v>16.687447070050794</v>
      </c>
      <c r="DR101" s="40">
        <f t="shared" si="218"/>
        <v>132.86053174172599</v>
      </c>
      <c r="DS101" s="40">
        <f>$DD$91*DM101*((1+COS(RADIANS(Insolation!$L$7)))/2)</f>
        <v>15.227864596768024</v>
      </c>
      <c r="DT101" s="40">
        <f t="shared" si="219"/>
        <v>261.58347325913752</v>
      </c>
      <c r="DU101" s="40">
        <f t="shared" si="220"/>
        <v>12.376879476773189</v>
      </c>
      <c r="DV101" s="40">
        <f t="shared" si="221"/>
        <v>284.88629869002574</v>
      </c>
      <c r="DW101" s="40">
        <f t="shared" si="222"/>
        <v>9.1537120439047683</v>
      </c>
    </row>
    <row r="102" spans="2:127" x14ac:dyDescent="0.15">
      <c r="D102" s="48">
        <v>16.5</v>
      </c>
      <c r="E102" s="40">
        <f t="shared" si="139"/>
        <v>30.562977150124773</v>
      </c>
      <c r="F102" s="181">
        <f t="shared" si="133"/>
        <v>-67.5</v>
      </c>
      <c r="G102" s="40">
        <f t="shared" si="140"/>
        <v>-93.470938260822322</v>
      </c>
      <c r="H102" s="40">
        <f t="shared" si="141"/>
        <v>-86.529061739177692</v>
      </c>
      <c r="I102" s="40">
        <f t="shared" si="142"/>
        <v>266.52906173917768</v>
      </c>
      <c r="J102" s="40">
        <f t="shared" si="223"/>
        <v>-93.470938260822322</v>
      </c>
      <c r="K102" s="40">
        <f t="shared" si="144"/>
        <v>1.9666258739468991</v>
      </c>
      <c r="L102" s="40">
        <f t="shared" si="145"/>
        <v>720.59011608396509</v>
      </c>
      <c r="M102" s="41">
        <f>COS(RADIANS(E102))*COS(RADIANS(G102-Insolation!$L$6))*SIN(RADIANS(0))+(SIN(RADIANS(E102))*COS(RADIANS(0)))</f>
        <v>0.50848512330058004</v>
      </c>
      <c r="N102" s="41">
        <f>COS(RADIANS(E102))*COS(RADIANS(G102-Insolation!$L$6))*SIN(RADIANS(Insolation!$L$7))+SIN(RADIANS(E102))*COS(RADIANS(Insolation!$L$7))</f>
        <v>0.44450969149626801</v>
      </c>
      <c r="O102" s="40">
        <f t="shared" si="146"/>
        <v>366.40935402613428</v>
      </c>
      <c r="P102" s="40">
        <f t="shared" si="147"/>
        <v>97.183363176422873</v>
      </c>
      <c r="Q102" s="40">
        <f t="shared" si="148"/>
        <v>320.3092901957433</v>
      </c>
      <c r="R102" s="40">
        <f>$C$91*L102*((1+COS(RADIANS(Insolation!$L$7)))/2)</f>
        <v>88.683133453354202</v>
      </c>
      <c r="S102" s="40">
        <f t="shared" si="149"/>
        <v>670.36976453522038</v>
      </c>
      <c r="T102" s="40">
        <f t="shared" si="150"/>
        <v>56.231323873822838</v>
      </c>
      <c r="U102" s="40">
        <f t="shared" si="151"/>
        <v>720.59011608396509</v>
      </c>
      <c r="V102" s="40">
        <f t="shared" si="152"/>
        <v>73.299828791975656</v>
      </c>
      <c r="Y102" s="48">
        <v>16.5</v>
      </c>
      <c r="Z102" s="40">
        <f t="shared" si="153"/>
        <v>25.967278972511288</v>
      </c>
      <c r="AA102" s="181">
        <f t="shared" si="134"/>
        <v>-67.5</v>
      </c>
      <c r="AB102" s="40">
        <f t="shared" si="154"/>
        <v>-86.404137413128339</v>
      </c>
      <c r="AC102" s="40">
        <f t="shared" si="155"/>
        <v>-86.404137413128339</v>
      </c>
      <c r="AD102" s="40">
        <f t="shared" si="156"/>
        <v>266.40413741312835</v>
      </c>
      <c r="AE102" s="40">
        <f t="shared" si="224"/>
        <v>-93.595862586871647</v>
      </c>
      <c r="AF102" s="40">
        <f t="shared" si="158"/>
        <v>2.2838465776946588</v>
      </c>
      <c r="AG102" s="40">
        <f t="shared" si="159"/>
        <v>695.61768435980332</v>
      </c>
      <c r="AH102" s="41">
        <f>COS(RADIANS(Z102))*COS(RADIANS(AB102-Insolation!$L$6))*SIN(RADIANS(0))+(SIN(RADIANS(Z102))*COS(RADIANS(0)))</f>
        <v>0.43785778334086328</v>
      </c>
      <c r="AI102" s="41">
        <f>COS(RADIANS(Z102))*COS(RADIANS(AB102-Insolation!$L$6))*SIN(RADIANS(Insolation!$L$7))+SIN(RADIANS(Z102))*COS(RADIANS(Insolation!$L$7))</f>
        <v>0.44955441858612405</v>
      </c>
      <c r="AJ102" s="40">
        <f t="shared" si="160"/>
        <v>304.58161732648779</v>
      </c>
      <c r="AK102" s="40">
        <f t="shared" si="161"/>
        <v>88.80361235572029</v>
      </c>
      <c r="AL102" s="40">
        <f t="shared" si="162"/>
        <v>312.71800365059732</v>
      </c>
      <c r="AM102" s="40">
        <f>$X$91*AG102*((1+COS(RADIANS(Insolation!$L$7)))/2)</f>
        <v>81.036325028036075</v>
      </c>
      <c r="AN102" s="40">
        <f t="shared" si="163"/>
        <v>675.58574923314393</v>
      </c>
      <c r="AO102" s="40">
        <f t="shared" si="164"/>
        <v>53.772673134327839</v>
      </c>
      <c r="AP102" s="40">
        <f t="shared" si="165"/>
        <v>695.61768435980332</v>
      </c>
      <c r="AQ102" s="40">
        <f t="shared" si="166"/>
        <v>63.843482607228637</v>
      </c>
      <c r="AT102" s="48">
        <v>16.5</v>
      </c>
      <c r="AU102" s="40">
        <f t="shared" si="167"/>
        <v>18.529786782560624</v>
      </c>
      <c r="AV102" s="181">
        <f t="shared" si="135"/>
        <v>-67.5</v>
      </c>
      <c r="AW102" s="40">
        <f t="shared" si="168"/>
        <v>-76.821421730026501</v>
      </c>
      <c r="AX102" s="40">
        <f t="shared" si="169"/>
        <v>-76.821421730026501</v>
      </c>
      <c r="AY102" s="40">
        <f t="shared" si="170"/>
        <v>256.82142173002649</v>
      </c>
      <c r="AZ102" s="40">
        <f t="shared" si="225"/>
        <v>-103.17857826997351</v>
      </c>
      <c r="BA102" s="40">
        <f t="shared" si="172"/>
        <v>3.1466566127242177</v>
      </c>
      <c r="BB102" s="40">
        <f t="shared" si="173"/>
        <v>629.38642725842328</v>
      </c>
      <c r="BC102" s="41">
        <f>COS(RADIANS(AU102))*COS(RADIANS(AW102-Insolation!$L$6))*SIN(RADIANS(0))+(SIN(RADIANS(AU102))*COS(RADIANS(0)))</f>
        <v>0.31779762556749086</v>
      </c>
      <c r="BD102" s="41">
        <f>COS(RADIANS(AU102))*COS(RADIANS(AW102-Insolation!$L$6))*SIN(RADIANS(Insolation!$L$7))+SIN(RADIANS(AU102))*COS(RADIANS(Insolation!$L$7))</f>
        <v>0.44184871866508146</v>
      </c>
      <c r="BE102" s="40">
        <f t="shared" si="174"/>
        <v>200.01751214713323</v>
      </c>
      <c r="BF102" s="40">
        <f t="shared" si="175"/>
        <v>70.097433965386628</v>
      </c>
      <c r="BG102" s="40">
        <f t="shared" si="176"/>
        <v>278.09358642932784</v>
      </c>
      <c r="BH102" s="40">
        <f>$AS$91*BB102*((1+COS(RADIANS(Insolation!$L$7)))/2)</f>
        <v>63.966299250263106</v>
      </c>
      <c r="BI102" s="40">
        <f t="shared" si="177"/>
        <v>628.91536863392969</v>
      </c>
      <c r="BJ102" s="40">
        <f t="shared" si="178"/>
        <v>44.893298728757848</v>
      </c>
      <c r="BK102" s="40">
        <f t="shared" si="179"/>
        <v>629.38642725842328</v>
      </c>
      <c r="BL102" s="40">
        <f t="shared" si="180"/>
        <v>46.187116018980241</v>
      </c>
      <c r="BO102" s="48">
        <v>16.5</v>
      </c>
      <c r="BP102" s="40">
        <f t="shared" si="181"/>
        <v>10.477973686283613</v>
      </c>
      <c r="BQ102" s="181">
        <f t="shared" si="136"/>
        <v>-67.5</v>
      </c>
      <c r="BR102" s="40">
        <f t="shared" si="182"/>
        <v>-67.879025984782388</v>
      </c>
      <c r="BS102" s="40">
        <f t="shared" si="183"/>
        <v>-67.879025984782388</v>
      </c>
      <c r="BT102" s="40">
        <f t="shared" si="184"/>
        <v>247.8790259847824</v>
      </c>
      <c r="BU102" s="40">
        <f t="shared" si="226"/>
        <v>-112.1209740152176</v>
      </c>
      <c r="BV102" s="40">
        <f t="shared" si="186"/>
        <v>5.4988103474602132</v>
      </c>
      <c r="BW102" s="40">
        <f t="shared" si="187"/>
        <v>460.27451426740004</v>
      </c>
      <c r="BX102" s="41">
        <f>COS(RADIANS(BP102))*COS(RADIANS(BR102-Insolation!$L$6))*SIN(RADIANS(0))+(SIN(RADIANS(BP102))*COS(RADIANS(0)))</f>
        <v>0.18185751768323477</v>
      </c>
      <c r="BY102" s="41">
        <f>COS(RADIANS(BP102))*COS(RADIANS(BR102-Insolation!$L$6))*SIN(RADIANS(Insolation!$L$7))+SIN(RADIANS(BP102))*COS(RADIANS(Insolation!$L$7))</f>
        <v>0.41545199085671813</v>
      </c>
      <c r="BZ102" s="40">
        <f t="shared" si="188"/>
        <v>83.704380617525999</v>
      </c>
      <c r="CA102" s="40">
        <f t="shared" si="189"/>
        <v>41.985564591301809</v>
      </c>
      <c r="CB102" s="40">
        <f t="shared" si="190"/>
        <v>191.22196329300027</v>
      </c>
      <c r="CC102" s="40">
        <f>$BN$91*BW102*((1+COS(RADIANS(Insolation!$L$7)))/2)</f>
        <v>38.31325965747353</v>
      </c>
      <c r="CD102" s="40">
        <f t="shared" si="191"/>
        <v>453.82965453501095</v>
      </c>
      <c r="CE102" s="40">
        <f t="shared" si="192"/>
        <v>28.199368723324579</v>
      </c>
      <c r="CF102" s="40">
        <f t="shared" si="193"/>
        <v>460.27451426740004</v>
      </c>
      <c r="CG102" s="40">
        <f t="shared" si="194"/>
        <v>24.81047757320254</v>
      </c>
      <c r="CJ102" s="48">
        <v>16.5</v>
      </c>
      <c r="CK102" s="40">
        <f t="shared" si="195"/>
        <v>3.7897584203578427</v>
      </c>
      <c r="CL102" s="181">
        <f t="shared" si="137"/>
        <v>-67.5</v>
      </c>
      <c r="CM102" s="40">
        <f t="shared" si="196"/>
        <v>-61.007010284066411</v>
      </c>
      <c r="CN102" s="40">
        <f t="shared" si="197"/>
        <v>-61.007010284066411</v>
      </c>
      <c r="CO102" s="40">
        <f t="shared" si="198"/>
        <v>241.00701028406641</v>
      </c>
      <c r="CP102" s="40">
        <f t="shared" si="227"/>
        <v>-118.99298971593359</v>
      </c>
      <c r="CQ102" s="40">
        <f t="shared" si="200"/>
        <v>15.129613192716734</v>
      </c>
      <c r="CR102" s="40">
        <f t="shared" si="201"/>
        <v>118.90673774598449</v>
      </c>
      <c r="CS102" s="41">
        <f>COS(RADIANS(CK102))*COS(RADIANS(CM102-Insolation!$L$6))*SIN(RADIANS(0))+(SIN(RADIANS(CK102))*COS(RADIANS(0)))</f>
        <v>6.6095543042791832E-2</v>
      </c>
      <c r="CT102" s="41">
        <f>COS(RADIANS(CK102))*COS(RADIANS(CM102-Insolation!$L$6))*SIN(RADIANS(Insolation!$L$7))+SIN(RADIANS(CK102))*COS(RADIANS(Insolation!$L$7))</f>
        <v>0.38118144740463011</v>
      </c>
      <c r="CU102" s="40">
        <f t="shared" si="202"/>
        <v>7.8592054027676781</v>
      </c>
      <c r="CV102" s="40">
        <f t="shared" si="203"/>
        <v>8.5004750120565902</v>
      </c>
      <c r="CW102" s="40">
        <f t="shared" si="204"/>
        <v>45.325042400177132</v>
      </c>
      <c r="CX102" s="40">
        <f>$CI$91*CR102*((1+COS(RADIANS(Insolation!$L$7)))/2)</f>
        <v>7.7569733673716321</v>
      </c>
      <c r="CY102" s="40">
        <f t="shared" si="205"/>
        <v>112.32828158283104</v>
      </c>
      <c r="CZ102" s="40">
        <f t="shared" si="206"/>
        <v>5.9066740618389328</v>
      </c>
      <c r="DA102" s="40">
        <f t="shared" si="207"/>
        <v>118.90673774598449</v>
      </c>
      <c r="DB102" s="40">
        <f t="shared" si="208"/>
        <v>4.5311592620500765</v>
      </c>
      <c r="DE102" s="48">
        <v>16.5</v>
      </c>
      <c r="DF102" s="40">
        <f t="shared" si="209"/>
        <v>0.83419550897697459</v>
      </c>
      <c r="DG102" s="181">
        <f t="shared" si="138"/>
        <v>-67.5</v>
      </c>
      <c r="DH102" s="40">
        <f t="shared" si="210"/>
        <v>-58.037953932527728</v>
      </c>
      <c r="DI102" s="40">
        <f t="shared" si="211"/>
        <v>-58.037953932527728</v>
      </c>
      <c r="DJ102" s="40">
        <f t="shared" si="212"/>
        <v>238.03795393252773</v>
      </c>
      <c r="DK102" s="40">
        <f t="shared" si="228"/>
        <v>-121.96204606747227</v>
      </c>
      <c r="DL102" s="40">
        <f t="shared" si="214"/>
        <v>68.686300975804372</v>
      </c>
      <c r="DM102" s="40">
        <f t="shared" si="215"/>
        <v>7.0924508102487543E-2</v>
      </c>
      <c r="DN102" s="41">
        <f>COS(RADIANS(DF102))*COS(RADIANS(DH102-Insolation!$L$6))*SIN(RADIANS(0))+(SIN(RADIANS(DF102))*COS(RADIANS(0)))</f>
        <v>1.4558943862070297E-2</v>
      </c>
      <c r="DO102" s="41">
        <f>COS(RADIANS(DF102))*COS(RADIANS(DH102-Insolation!$L$6))*SIN(RADIANS(Insolation!$L$7))+SIN(RADIANS(DF102))*COS(RADIANS(Insolation!$L$7))</f>
        <v>0.36275378479163556</v>
      </c>
      <c r="DP102" s="40">
        <f t="shared" si="216"/>
        <v>1.0325859319090661E-3</v>
      </c>
      <c r="DQ102" s="40">
        <f t="shared" si="217"/>
        <v>4.1544608511251196E-3</v>
      </c>
      <c r="DR102" s="40">
        <f t="shared" si="218"/>
        <v>2.5728133748662379E-2</v>
      </c>
      <c r="DS102" s="40">
        <f>$DD$91*DM102*((1+COS(RADIANS(Insolation!$L$7)))/2)</f>
        <v>3.7910872195092687E-3</v>
      </c>
      <c r="DT102" s="40">
        <f t="shared" si="219"/>
        <v>6.5123100879031809E-2</v>
      </c>
      <c r="DU102" s="40">
        <f t="shared" si="220"/>
        <v>2.9277235050250839E-3</v>
      </c>
      <c r="DV102" s="40">
        <f t="shared" si="221"/>
        <v>7.0924508102487543E-2</v>
      </c>
      <c r="DW102" s="40">
        <f t="shared" si="222"/>
        <v>2.1074727067169098E-3</v>
      </c>
    </row>
    <row r="103" spans="2:127" x14ac:dyDescent="0.15">
      <c r="D103" s="48">
        <v>17</v>
      </c>
      <c r="E103" s="40">
        <f t="shared" si="139"/>
        <v>24.847997691252001</v>
      </c>
      <c r="F103" s="181">
        <f t="shared" si="133"/>
        <v>-75</v>
      </c>
      <c r="G103" s="40">
        <f t="shared" si="140"/>
        <v>-97.994358378048446</v>
      </c>
      <c r="H103" s="40">
        <f t="shared" si="141"/>
        <v>-82.00564162195154</v>
      </c>
      <c r="I103" s="40">
        <f t="shared" si="142"/>
        <v>262.00564162195155</v>
      </c>
      <c r="J103" s="40">
        <f t="shared" si="223"/>
        <v>-97.994358378048446</v>
      </c>
      <c r="K103" s="40">
        <f t="shared" si="144"/>
        <v>2.3797489278648802</v>
      </c>
      <c r="L103" s="40">
        <f t="shared" si="145"/>
        <v>661.01469672718611</v>
      </c>
      <c r="M103" s="41">
        <f>COS(RADIANS(E103))*COS(RADIANS(G103-Insolation!$L$6))*SIN(RADIANS(0))+(SIN(RADIANS(E103))*COS(RADIANS(0)))</f>
        <v>0.42021239648049924</v>
      </c>
      <c r="N103" s="41">
        <f>COS(RADIANS(E103))*COS(RADIANS(G103-Insolation!$L$6))*SIN(RADIANS(Insolation!$L$7))+SIN(RADIANS(E103))*COS(RADIANS(Insolation!$L$7))</f>
        <v>0.33255757607037428</v>
      </c>
      <c r="O103" s="40">
        <f t="shared" si="146"/>
        <v>277.7665698205613</v>
      </c>
      <c r="P103" s="40">
        <f t="shared" si="147"/>
        <v>89.148643456422008</v>
      </c>
      <c r="Q103" s="40">
        <f t="shared" si="148"/>
        <v>219.82544529048658</v>
      </c>
      <c r="R103" s="40">
        <f>$C$91*L103*((1+COS(RADIANS(Insolation!$L$7)))/2)</f>
        <v>81.351177675124859</v>
      </c>
      <c r="S103" s="40">
        <f t="shared" si="149"/>
        <v>614.9463567547599</v>
      </c>
      <c r="T103" s="40">
        <f t="shared" si="150"/>
        <v>47.164013074495358</v>
      </c>
      <c r="U103" s="40">
        <f t="shared" si="151"/>
        <v>661.01469672718611</v>
      </c>
      <c r="V103" s="40">
        <f t="shared" si="152"/>
        <v>63.305004283115345</v>
      </c>
      <c r="Y103" s="48">
        <v>17</v>
      </c>
      <c r="Z103" s="40">
        <f t="shared" si="153"/>
        <v>20.224813760748432</v>
      </c>
      <c r="AA103" s="181">
        <f t="shared" si="134"/>
        <v>-75</v>
      </c>
      <c r="AB103" s="40">
        <f t="shared" si="154"/>
        <v>-91.278655232188498</v>
      </c>
      <c r="AC103" s="40">
        <f t="shared" si="155"/>
        <v>-88.721344767811473</v>
      </c>
      <c r="AD103" s="40">
        <f t="shared" si="156"/>
        <v>268.7213447678115</v>
      </c>
      <c r="AE103" s="40">
        <f t="shared" si="224"/>
        <v>-91.278655232188498</v>
      </c>
      <c r="AF103" s="40">
        <f t="shared" si="158"/>
        <v>2.8926429342952393</v>
      </c>
      <c r="AG103" s="40">
        <f t="shared" si="159"/>
        <v>614.90694696231139</v>
      </c>
      <c r="AH103" s="41">
        <f>COS(RADIANS(Z103))*COS(RADIANS(AB103-Insolation!$L$6))*SIN(RADIANS(0))+(SIN(RADIANS(Z103))*COS(RADIANS(0)))</f>
        <v>0.34570461087470478</v>
      </c>
      <c r="AI103" s="41">
        <f>COS(RADIANS(Z103))*COS(RADIANS(AB103-Insolation!$L$6))*SIN(RADIANS(Insolation!$L$7))+SIN(RADIANS(Z103))*COS(RADIANS(Insolation!$L$7))</f>
        <v>0.33268091787483389</v>
      </c>
      <c r="AJ103" s="40">
        <f t="shared" si="160"/>
        <v>212.5761668237586</v>
      </c>
      <c r="AK103" s="40">
        <f t="shared" si="161"/>
        <v>78.49995677314611</v>
      </c>
      <c r="AL103" s="40">
        <f t="shared" si="162"/>
        <v>204.56780752303357</v>
      </c>
      <c r="AM103" s="40">
        <f>$X$91*AG103*((1+COS(RADIANS(Insolation!$L$7)))/2)</f>
        <v>71.633887890436512</v>
      </c>
      <c r="AN103" s="40">
        <f t="shared" si="163"/>
        <v>597.19926593660898</v>
      </c>
      <c r="AO103" s="40">
        <f t="shared" si="164"/>
        <v>43.653212004100091</v>
      </c>
      <c r="AP103" s="40">
        <f t="shared" si="165"/>
        <v>614.90694696231139</v>
      </c>
      <c r="AQ103" s="40">
        <f t="shared" si="166"/>
        <v>52.818876891543859</v>
      </c>
      <c r="AT103" s="48">
        <v>17</v>
      </c>
      <c r="AU103" s="40">
        <f t="shared" si="167"/>
        <v>12.884300558682323</v>
      </c>
      <c r="AV103" s="181">
        <f t="shared" si="135"/>
        <v>-75</v>
      </c>
      <c r="AW103" s="40">
        <f t="shared" si="168"/>
        <v>-81.944219712538185</v>
      </c>
      <c r="AX103" s="40">
        <f t="shared" si="169"/>
        <v>-81.944219712538185</v>
      </c>
      <c r="AY103" s="40">
        <f t="shared" si="170"/>
        <v>261.9442197125382</v>
      </c>
      <c r="AZ103" s="40">
        <f t="shared" si="225"/>
        <v>-98.055780287461801</v>
      </c>
      <c r="BA103" s="40">
        <f t="shared" si="172"/>
        <v>4.4846464838182429</v>
      </c>
      <c r="BB103" s="40">
        <f t="shared" si="173"/>
        <v>489.19695914842407</v>
      </c>
      <c r="BC103" s="41">
        <f>COS(RADIANS(AU103))*COS(RADIANS(AW103-Insolation!$L$6))*SIN(RADIANS(0))+(SIN(RADIANS(AU103))*COS(RADIANS(0)))</f>
        <v>0.22298301629978126</v>
      </c>
      <c r="BD103" s="41">
        <f>COS(RADIANS(AU103))*COS(RADIANS(AW103-Insolation!$L$6))*SIN(RADIANS(Insolation!$L$7))+SIN(RADIANS(AU103))*COS(RADIANS(Insolation!$L$7))</f>
        <v>0.32159984380665763</v>
      </c>
      <c r="BE103" s="40">
        <f t="shared" si="174"/>
        <v>109.08261351559648</v>
      </c>
      <c r="BF103" s="40">
        <f t="shared" si="175"/>
        <v>54.483938729575868</v>
      </c>
      <c r="BG103" s="40">
        <f t="shared" si="176"/>
        <v>157.32566565282505</v>
      </c>
      <c r="BH103" s="40">
        <f>$AS$91*BB103*((1+COS(RADIANS(Insolation!$L$7)))/2)</f>
        <v>49.718452330651267</v>
      </c>
      <c r="BI103" s="40">
        <f t="shared" si="177"/>
        <v>488.83082407352788</v>
      </c>
      <c r="BJ103" s="40">
        <f t="shared" si="178"/>
        <v>32.284668671406912</v>
      </c>
      <c r="BK103" s="40">
        <f t="shared" si="179"/>
        <v>489.19695914842407</v>
      </c>
      <c r="BL103" s="40">
        <f t="shared" si="180"/>
        <v>33.316465863694582</v>
      </c>
      <c r="BO103" s="48">
        <v>17</v>
      </c>
      <c r="BP103" s="40">
        <f t="shared" si="181"/>
        <v>5.0658436509438847</v>
      </c>
      <c r="BQ103" s="181">
        <f t="shared" si="136"/>
        <v>-75</v>
      </c>
      <c r="BR103" s="40">
        <f t="shared" si="182"/>
        <v>-72.966864309825283</v>
      </c>
      <c r="BS103" s="40">
        <f t="shared" si="183"/>
        <v>-72.966864309825283</v>
      </c>
      <c r="BT103" s="40">
        <f t="shared" si="184"/>
        <v>252.96686430982527</v>
      </c>
      <c r="BU103" s="40">
        <f t="shared" si="226"/>
        <v>-107.03313569017473</v>
      </c>
      <c r="BV103" s="40">
        <f t="shared" si="186"/>
        <v>11.324964128808931</v>
      </c>
      <c r="BW103" s="40">
        <f t="shared" si="187"/>
        <v>170.26393998243194</v>
      </c>
      <c r="BX103" s="41">
        <f>COS(RADIANS(BP103))*COS(RADIANS(BR103-Insolation!$L$6))*SIN(RADIANS(0))+(SIN(RADIANS(BP103))*COS(RADIANS(0)))</f>
        <v>8.830050043656712E-2</v>
      </c>
      <c r="BY103" s="41">
        <f>COS(RADIANS(BP103))*COS(RADIANS(BR103-Insolation!$L$6))*SIN(RADIANS(Insolation!$L$7))+SIN(RADIANS(BP103))*COS(RADIANS(Insolation!$L$7))</f>
        <v>0.29679806035053202</v>
      </c>
      <c r="BZ103" s="40">
        <f t="shared" si="188"/>
        <v>15.03439110675037</v>
      </c>
      <c r="CA103" s="40">
        <f t="shared" si="189"/>
        <v>15.531226318450646</v>
      </c>
      <c r="CB103" s="40">
        <f t="shared" si="190"/>
        <v>50.534007134425195</v>
      </c>
      <c r="CC103" s="40">
        <f>$BN$91*BW103*((1+COS(RADIANS(Insolation!$L$7)))/2)</f>
        <v>14.172773726640887</v>
      </c>
      <c r="CD103" s="40">
        <f t="shared" si="191"/>
        <v>167.87986878870689</v>
      </c>
      <c r="CE103" s="40">
        <f t="shared" si="192"/>
        <v>9.7316419406841401</v>
      </c>
      <c r="CF103" s="40">
        <f t="shared" si="193"/>
        <v>170.26393998243194</v>
      </c>
      <c r="CG103" s="40">
        <f t="shared" si="194"/>
        <v>8.4513206873817115</v>
      </c>
      <c r="CJ103" s="48">
        <v>17</v>
      </c>
      <c r="CK103" s="40">
        <f t="shared" si="195"/>
        <v>-1.3489006253996123</v>
      </c>
      <c r="CL103" s="181">
        <f t="shared" si="137"/>
        <v>-75</v>
      </c>
      <c r="CM103" s="40">
        <f t="shared" si="196"/>
        <v>-65.886704082684432</v>
      </c>
      <c r="CN103" s="40">
        <f t="shared" si="197"/>
        <v>-65.886704082684432</v>
      </c>
      <c r="CO103" s="40">
        <f t="shared" si="198"/>
        <v>245.88670408268445</v>
      </c>
      <c r="CP103" s="40">
        <f t="shared" si="227"/>
        <v>-114.11329591731555</v>
      </c>
      <c r="CQ103" s="40">
        <f t="shared" si="200"/>
        <v>42.479832526603495</v>
      </c>
      <c r="CR103" s="40">
        <f t="shared" si="201"/>
        <v>0</v>
      </c>
      <c r="CS103" s="41">
        <f>COS(RADIANS(CK103))*COS(RADIANS(CM103-Insolation!$L$6))*SIN(RADIANS(0))+(SIN(RADIANS(CK103))*COS(RADIANS(0)))</f>
        <v>-2.3540582448712297E-2</v>
      </c>
      <c r="CT103" s="41">
        <f>COS(RADIANS(CK103))*COS(RADIANS(CM103-Insolation!$L$6))*SIN(RADIANS(Insolation!$L$7))+SIN(RADIANS(CK103))*COS(RADIANS(Insolation!$L$7))</f>
        <v>0.26750019806690029</v>
      </c>
      <c r="CU103" s="40">
        <f t="shared" si="202"/>
        <v>0</v>
      </c>
      <c r="CV103" s="40">
        <f t="shared" si="203"/>
        <v>0</v>
      </c>
      <c r="CW103" s="40">
        <f t="shared" si="204"/>
        <v>0</v>
      </c>
      <c r="CX103" s="40">
        <f>$CI$91*CR103*((1+COS(RADIANS(Insolation!$L$7)))/2)</f>
        <v>0</v>
      </c>
      <c r="CY103" s="40">
        <f t="shared" si="205"/>
        <v>0</v>
      </c>
      <c r="CZ103" s="40">
        <f t="shared" si="206"/>
        <v>0</v>
      </c>
      <c r="DA103" s="40">
        <f t="shared" si="207"/>
        <v>0</v>
      </c>
      <c r="DB103" s="40">
        <f t="shared" si="208"/>
        <v>0</v>
      </c>
      <c r="DE103" s="48">
        <v>17</v>
      </c>
      <c r="DF103" s="40">
        <f t="shared" si="209"/>
        <v>-4.1613446132070422</v>
      </c>
      <c r="DG103" s="181">
        <f t="shared" si="138"/>
        <v>-75</v>
      </c>
      <c r="DH103" s="40">
        <f t="shared" si="210"/>
        <v>-62.780461742377241</v>
      </c>
      <c r="DI103" s="40">
        <f t="shared" si="211"/>
        <v>-62.780461742377241</v>
      </c>
      <c r="DJ103" s="40">
        <f t="shared" si="212"/>
        <v>242.78046174237724</v>
      </c>
      <c r="DK103" s="40">
        <f t="shared" si="228"/>
        <v>-117.21953825762276</v>
      </c>
      <c r="DL103" s="40">
        <f t="shared" si="214"/>
        <v>13.780685897935836</v>
      </c>
      <c r="DM103" s="40">
        <f t="shared" si="215"/>
        <v>0</v>
      </c>
      <c r="DN103" s="41">
        <f>COS(RADIANS(DF103))*COS(RADIANS(DH103-Insolation!$L$6))*SIN(RADIANS(0))+(SIN(RADIANS(DF103))*COS(RADIANS(0)))</f>
        <v>-7.2565328562476467E-2</v>
      </c>
      <c r="DO103" s="41">
        <f>COS(RADIANS(DF103))*COS(RADIANS(DH103-Insolation!$L$6))*SIN(RADIANS(Insolation!$L$7))+SIN(RADIANS(DF103))*COS(RADIANS(Insolation!$L$7))</f>
        <v>0.25225819964051316</v>
      </c>
      <c r="DP103" s="40">
        <f t="shared" si="216"/>
        <v>0</v>
      </c>
      <c r="DQ103" s="40">
        <f t="shared" si="217"/>
        <v>0</v>
      </c>
      <c r="DR103" s="40">
        <f t="shared" si="218"/>
        <v>0</v>
      </c>
      <c r="DS103" s="40">
        <f>$DD$91*DM103*((1+COS(RADIANS(Insolation!$L$7)))/2)</f>
        <v>0</v>
      </c>
      <c r="DT103" s="40">
        <f t="shared" si="219"/>
        <v>0</v>
      </c>
      <c r="DU103" s="40">
        <f t="shared" si="220"/>
        <v>0</v>
      </c>
      <c r="DV103" s="40">
        <f t="shared" si="221"/>
        <v>0</v>
      </c>
      <c r="DW103" s="40">
        <f t="shared" si="222"/>
        <v>0</v>
      </c>
    </row>
    <row r="104" spans="2:127" x14ac:dyDescent="0.15">
      <c r="D104" s="48">
        <v>17.5</v>
      </c>
      <c r="E104" s="40">
        <f t="shared" si="139"/>
        <v>19.194967418599436</v>
      </c>
      <c r="F104" s="181">
        <f t="shared" si="133"/>
        <v>-82.5</v>
      </c>
      <c r="G104" s="40">
        <f t="shared" si="140"/>
        <v>-102.40754098807389</v>
      </c>
      <c r="H104" s="40">
        <f t="shared" si="141"/>
        <v>-77.592459011926124</v>
      </c>
      <c r="I104" s="40">
        <f t="shared" si="142"/>
        <v>257.59245901192611</v>
      </c>
      <c r="J104" s="40">
        <f t="shared" si="223"/>
        <v>-102.40754098807389</v>
      </c>
      <c r="K104" s="40">
        <f t="shared" si="144"/>
        <v>3.0415133474540674</v>
      </c>
      <c r="L104" s="40">
        <f t="shared" si="145"/>
        <v>575.67582341450611</v>
      </c>
      <c r="M104" s="41">
        <f>COS(RADIANS(E104))*COS(RADIANS(G104-Insolation!$L$6))*SIN(RADIANS(0))+(SIN(RADIANS(E104))*COS(RADIANS(0)))</f>
        <v>0.32878369606270547</v>
      </c>
      <c r="N104" s="41">
        <f>COS(RADIANS(E104))*COS(RADIANS(G104-Insolation!$L$6))*SIN(RADIANS(Insolation!$L$7))+SIN(RADIANS(E104))*COS(RADIANS(Insolation!$L$7))</f>
        <v>0.21554421340499461</v>
      </c>
      <c r="O104" s="40">
        <f t="shared" si="146"/>
        <v>189.27282495616268</v>
      </c>
      <c r="P104" s="40">
        <f t="shared" si="147"/>
        <v>77.639300581607259</v>
      </c>
      <c r="Q104" s="40">
        <f t="shared" si="148"/>
        <v>124.0835925341523</v>
      </c>
      <c r="R104" s="40">
        <f>$C$91*L104*((1+COS(RADIANS(Insolation!$L$7)))/2)</f>
        <v>70.848509761948236</v>
      </c>
      <c r="S104" s="40">
        <f t="shared" si="149"/>
        <v>535.55503687485168</v>
      </c>
      <c r="T104" s="40">
        <f t="shared" si="150"/>
        <v>37.246605045588318</v>
      </c>
      <c r="U104" s="40">
        <f t="shared" si="151"/>
        <v>575.67582341450611</v>
      </c>
      <c r="V104" s="40">
        <f t="shared" si="152"/>
        <v>51.582918393275726</v>
      </c>
      <c r="Y104" s="48">
        <v>17.5</v>
      </c>
      <c r="Z104" s="40">
        <f t="shared" si="153"/>
        <v>14.492704603134568</v>
      </c>
      <c r="AA104" s="181">
        <f t="shared" si="134"/>
        <v>-82.5</v>
      </c>
      <c r="AB104" s="40">
        <f t="shared" si="154"/>
        <v>-95.989705559827826</v>
      </c>
      <c r="AC104" s="40">
        <f t="shared" si="155"/>
        <v>-84.010294440172174</v>
      </c>
      <c r="AD104" s="40">
        <f t="shared" si="156"/>
        <v>264.01029444017217</v>
      </c>
      <c r="AE104" s="40">
        <f t="shared" si="224"/>
        <v>-95.989705559827826</v>
      </c>
      <c r="AF104" s="40">
        <f t="shared" si="158"/>
        <v>3.9958965491165137</v>
      </c>
      <c r="AG104" s="40">
        <f t="shared" si="159"/>
        <v>491.75229395362368</v>
      </c>
      <c r="AH104" s="41">
        <f>COS(RADIANS(Z104))*COS(RADIANS(AB104-Insolation!$L$6))*SIN(RADIANS(0))+(SIN(RADIANS(Z104))*COS(RADIANS(0)))</f>
        <v>0.25025672904897861</v>
      </c>
      <c r="AI104" s="41">
        <f>COS(RADIANS(Z104))*COS(RADIANS(AB104-Insolation!$L$6))*SIN(RADIANS(Insolation!$L$7))+SIN(RADIANS(Z104))*COS(RADIANS(Insolation!$L$7))</f>
        <v>0.21052367883852355</v>
      </c>
      <c r="AJ104" s="40">
        <f t="shared" si="160"/>
        <v>123.06432058716568</v>
      </c>
      <c r="AK104" s="40">
        <f t="shared" si="161"/>
        <v>62.777846321552303</v>
      </c>
      <c r="AL104" s="40">
        <f t="shared" si="162"/>
        <v>103.5255020003999</v>
      </c>
      <c r="AM104" s="40">
        <f>$X$91*AG104*((1+COS(RADIANS(Insolation!$L$7)))/2)</f>
        <v>57.28692588197076</v>
      </c>
      <c r="AN104" s="40">
        <f t="shared" si="163"/>
        <v>477.59113866337134</v>
      </c>
      <c r="AO104" s="40">
        <f t="shared" si="164"/>
        <v>31.777408780103226</v>
      </c>
      <c r="AP104" s="40">
        <f t="shared" si="165"/>
        <v>491.75229395362368</v>
      </c>
      <c r="AQ104" s="40">
        <f t="shared" si="166"/>
        <v>39.244212399361722</v>
      </c>
      <c r="AT104" s="48">
        <v>17.5</v>
      </c>
      <c r="AU104" s="40">
        <f t="shared" si="167"/>
        <v>7.1679671937748548</v>
      </c>
      <c r="AV104" s="181">
        <f t="shared" si="135"/>
        <v>-82.5</v>
      </c>
      <c r="AW104" s="40">
        <f t="shared" si="168"/>
        <v>-86.868233616285153</v>
      </c>
      <c r="AX104" s="40">
        <f t="shared" si="169"/>
        <v>-86.868233616285153</v>
      </c>
      <c r="AY104" s="40">
        <f t="shared" si="170"/>
        <v>266.86823361628512</v>
      </c>
      <c r="AZ104" s="40">
        <f t="shared" si="225"/>
        <v>-93.131766383714876</v>
      </c>
      <c r="BA104" s="40">
        <f t="shared" si="172"/>
        <v>8.0141983021788388</v>
      </c>
      <c r="BB104" s="40">
        <f t="shared" si="173"/>
        <v>251.65363153720381</v>
      </c>
      <c r="BC104" s="41">
        <f>COS(RADIANS(AU104))*COS(RADIANS(AW104-Insolation!$L$6))*SIN(RADIANS(0))+(SIN(RADIANS(AU104))*COS(RADIANS(0)))</f>
        <v>0.12477854456485407</v>
      </c>
      <c r="BD104" s="41">
        <f>COS(RADIANS(AU104))*COS(RADIANS(AW104-Insolation!$L$6))*SIN(RADIANS(Insolation!$L$7))+SIN(RADIANS(AU104))*COS(RADIANS(Insolation!$L$7))</f>
        <v>0.19591463321117991</v>
      </c>
      <c r="BE104" s="40">
        <f t="shared" si="174"/>
        <v>31.400973877672353</v>
      </c>
      <c r="BF104" s="40">
        <f t="shared" si="175"/>
        <v>28.027731541128169</v>
      </c>
      <c r="BG104" s="40">
        <f t="shared" si="176"/>
        <v>49.302628918872699</v>
      </c>
      <c r="BH104" s="40">
        <f>$AS$91*BB104*((1+COS(RADIANS(Insolation!$L$7)))/2)</f>
        <v>25.576260950595184</v>
      </c>
      <c r="BI104" s="40">
        <f t="shared" si="177"/>
        <v>251.46528363456932</v>
      </c>
      <c r="BJ104" s="40">
        <f t="shared" si="178"/>
        <v>15.223334588462192</v>
      </c>
      <c r="BK104" s="40">
        <f t="shared" si="179"/>
        <v>251.65363153720381</v>
      </c>
      <c r="BL104" s="40">
        <f t="shared" si="180"/>
        <v>15.762495545142299</v>
      </c>
      <c r="BO104" s="48">
        <v>17.5</v>
      </c>
      <c r="BP104" s="40">
        <f t="shared" si="181"/>
        <v>-0.49283097915566842</v>
      </c>
      <c r="BQ104" s="181">
        <f t="shared" si="136"/>
        <v>-82.5</v>
      </c>
      <c r="BR104" s="40">
        <f t="shared" si="182"/>
        <v>-77.849637969801293</v>
      </c>
      <c r="BS104" s="40">
        <f t="shared" si="183"/>
        <v>-77.849637969801293</v>
      </c>
      <c r="BT104" s="40">
        <f t="shared" si="184"/>
        <v>257.84963796980128</v>
      </c>
      <c r="BU104" s="40">
        <f t="shared" si="226"/>
        <v>-102.15036203019872</v>
      </c>
      <c r="BV104" s="40">
        <f t="shared" si="186"/>
        <v>116.25991152895803</v>
      </c>
      <c r="BW104" s="40">
        <f t="shared" si="187"/>
        <v>0</v>
      </c>
      <c r="BX104" s="41">
        <f>COS(RADIANS(BP104))*COS(RADIANS(BR104-Insolation!$L$6))*SIN(RADIANS(0))+(SIN(RADIANS(BP104))*COS(RADIANS(0)))</f>
        <v>-8.6014171768135222E-3</v>
      </c>
      <c r="BY104" s="41">
        <f>COS(RADIANS(BP104))*COS(RADIANS(BR104-Insolation!$L$6))*SIN(RADIANS(Insolation!$L$7))+SIN(RADIANS(BP104))*COS(RADIANS(Insolation!$L$7))</f>
        <v>0.17277990000426047</v>
      </c>
      <c r="BZ104" s="40">
        <f t="shared" si="188"/>
        <v>0</v>
      </c>
      <c r="CA104" s="40">
        <f t="shared" si="189"/>
        <v>0</v>
      </c>
      <c r="CB104" s="40">
        <f t="shared" si="190"/>
        <v>0</v>
      </c>
      <c r="CC104" s="40">
        <f>$BN$91*BW104*((1+COS(RADIANS(Insolation!$L$7)))/2)</f>
        <v>0</v>
      </c>
      <c r="CD104" s="40">
        <f t="shared" si="191"/>
        <v>0</v>
      </c>
      <c r="CE104" s="40">
        <f t="shared" si="192"/>
        <v>0</v>
      </c>
      <c r="CF104" s="40">
        <f t="shared" si="193"/>
        <v>0</v>
      </c>
      <c r="CG104" s="40">
        <f t="shared" si="194"/>
        <v>0</v>
      </c>
      <c r="CJ104" s="48">
        <v>17.5</v>
      </c>
      <c r="CK104" s="40">
        <f t="shared" si="195"/>
        <v>-6.6833100250452766</v>
      </c>
      <c r="CL104" s="181">
        <f t="shared" si="137"/>
        <v>-82.5</v>
      </c>
      <c r="CM104" s="40">
        <f t="shared" si="196"/>
        <v>-70.561930267553919</v>
      </c>
      <c r="CN104" s="40">
        <f t="shared" si="197"/>
        <v>-70.561930267553919</v>
      </c>
      <c r="CO104" s="40">
        <f t="shared" si="198"/>
        <v>250.56193026755392</v>
      </c>
      <c r="CP104" s="40">
        <f t="shared" si="227"/>
        <v>-109.43806973244608</v>
      </c>
      <c r="CQ104" s="40">
        <f t="shared" si="200"/>
        <v>8.5924363545217215</v>
      </c>
      <c r="CR104" s="40">
        <f t="shared" si="201"/>
        <v>0</v>
      </c>
      <c r="CS104" s="41">
        <f>COS(RADIANS(CK104))*COS(RADIANS(CM104-Insolation!$L$6))*SIN(RADIANS(0))+(SIN(RADIANS(CK104))*COS(RADIANS(0)))</f>
        <v>-0.11638142649421611</v>
      </c>
      <c r="CT104" s="41">
        <f>COS(RADIANS(CK104))*COS(RADIANS(CM104-Insolation!$L$6))*SIN(RADIANS(Insolation!$L$7))+SIN(RADIANS(CK104))*COS(RADIANS(Insolation!$L$7))</f>
        <v>0.14867952901206438</v>
      </c>
      <c r="CU104" s="40">
        <f t="shared" si="202"/>
        <v>0</v>
      </c>
      <c r="CV104" s="40">
        <f t="shared" si="203"/>
        <v>0</v>
      </c>
      <c r="CW104" s="40">
        <f t="shared" si="204"/>
        <v>0</v>
      </c>
      <c r="CX104" s="40">
        <f>$CI$91*CR104*((1+COS(RADIANS(Insolation!$L$7)))/2)</f>
        <v>0</v>
      </c>
      <c r="CY104" s="40">
        <f t="shared" si="205"/>
        <v>0</v>
      </c>
      <c r="CZ104" s="40">
        <f t="shared" si="206"/>
        <v>0</v>
      </c>
      <c r="DA104" s="40">
        <f t="shared" si="207"/>
        <v>0</v>
      </c>
      <c r="DB104" s="40">
        <f t="shared" si="208"/>
        <v>0</v>
      </c>
      <c r="DE104" s="48">
        <v>17.5</v>
      </c>
      <c r="DF104" s="40">
        <f t="shared" si="209"/>
        <v>-9.3697179239853128</v>
      </c>
      <c r="DG104" s="181">
        <f t="shared" si="138"/>
        <v>-82.5</v>
      </c>
      <c r="DH104" s="40">
        <f t="shared" si="210"/>
        <v>-67.317734120804104</v>
      </c>
      <c r="DI104" s="40">
        <f t="shared" si="211"/>
        <v>-67.317734120804104</v>
      </c>
      <c r="DJ104" s="40">
        <f t="shared" si="212"/>
        <v>247.31773412080412</v>
      </c>
      <c r="DK104" s="40">
        <f t="shared" si="228"/>
        <v>-112.68226587919588</v>
      </c>
      <c r="DL104" s="40">
        <f t="shared" si="214"/>
        <v>6.142335816031518</v>
      </c>
      <c r="DM104" s="40">
        <f t="shared" si="215"/>
        <v>0</v>
      </c>
      <c r="DN104" s="41">
        <f>COS(RADIANS(DF104))*COS(RADIANS(DH104-Insolation!$L$6))*SIN(RADIANS(0))+(SIN(RADIANS(DF104))*COS(RADIANS(0)))</f>
        <v>-0.16280451443081254</v>
      </c>
      <c r="DO104" s="41">
        <f>COS(RADIANS(DF104))*COS(RADIANS(DH104-Insolation!$L$6))*SIN(RADIANS(Insolation!$L$7))+SIN(RADIANS(DF104))*COS(RADIANS(Insolation!$L$7))</f>
        <v>0.13676721557983279</v>
      </c>
      <c r="DP104" s="40">
        <f t="shared" si="216"/>
        <v>0</v>
      </c>
      <c r="DQ104" s="40">
        <f t="shared" si="217"/>
        <v>0</v>
      </c>
      <c r="DR104" s="40">
        <f t="shared" si="218"/>
        <v>0</v>
      </c>
      <c r="DS104" s="40">
        <f>$DD$91*DM104*((1+COS(RADIANS(Insolation!$L$7)))/2)</f>
        <v>0</v>
      </c>
      <c r="DT104" s="40">
        <f t="shared" si="219"/>
        <v>0</v>
      </c>
      <c r="DU104" s="40">
        <f t="shared" si="220"/>
        <v>0</v>
      </c>
      <c r="DV104" s="40">
        <f t="shared" si="221"/>
        <v>0</v>
      </c>
      <c r="DW104" s="40">
        <f t="shared" si="222"/>
        <v>0</v>
      </c>
    </row>
    <row r="105" spans="2:127" x14ac:dyDescent="0.15">
      <c r="D105" s="48">
        <v>18</v>
      </c>
      <c r="E105" s="40">
        <f t="shared" si="139"/>
        <v>13.63662640809588</v>
      </c>
      <c r="F105" s="181">
        <f t="shared" si="133"/>
        <v>-90</v>
      </c>
      <c r="G105" s="40">
        <f t="shared" si="140"/>
        <v>-106.80540357308712</v>
      </c>
      <c r="H105" s="40">
        <f t="shared" si="141"/>
        <v>-73.194596426912867</v>
      </c>
      <c r="I105" s="40">
        <f t="shared" si="142"/>
        <v>253.19459642691288</v>
      </c>
      <c r="J105" s="40">
        <f t="shared" si="223"/>
        <v>-106.80540357308712</v>
      </c>
      <c r="K105" s="40">
        <f t="shared" si="144"/>
        <v>4.2415405952768213</v>
      </c>
      <c r="L105" s="40">
        <f t="shared" si="145"/>
        <v>448.03857347110824</v>
      </c>
      <c r="M105" s="41">
        <f>COS(RADIANS(E105))*COS(RADIANS(G105-Insolation!$L$6))*SIN(RADIANS(0))+(SIN(RADIANS(E105))*COS(RADIANS(0)))</f>
        <v>0.23576339246017181</v>
      </c>
      <c r="N105" s="41">
        <f>COS(RADIANS(E105))*COS(RADIANS(G105-Insolation!$L$6))*SIN(RADIANS(Insolation!$L$7))+SIN(RADIANS(E105))*COS(RADIANS(Insolation!$L$7))</f>
        <v>9.5471734577569758E-2</v>
      </c>
      <c r="O105" s="40">
        <f t="shared" si="146"/>
        <v>105.63109403456441</v>
      </c>
      <c r="P105" s="40">
        <f t="shared" si="147"/>
        <v>60.425329782924074</v>
      </c>
      <c r="Q105" s="40">
        <f t="shared" si="148"/>
        <v>42.775019766946635</v>
      </c>
      <c r="R105" s="40">
        <f>$C$91*L105*((1+COS(RADIANS(Insolation!$L$7)))/2)</f>
        <v>55.140174305081473</v>
      </c>
      <c r="S105" s="40">
        <f t="shared" si="149"/>
        <v>416.81325665799875</v>
      </c>
      <c r="T105" s="40">
        <f t="shared" si="150"/>
        <v>26.07017459605818</v>
      </c>
      <c r="U105" s="40">
        <f t="shared" si="151"/>
        <v>448.03857347110824</v>
      </c>
      <c r="V105" s="40">
        <f t="shared" si="152"/>
        <v>37.335705261535452</v>
      </c>
      <c r="Y105" s="48">
        <v>18</v>
      </c>
      <c r="Z105" s="40">
        <f t="shared" si="153"/>
        <v>8.809360206972924</v>
      </c>
      <c r="AA105" s="181">
        <f t="shared" si="134"/>
        <v>-90</v>
      </c>
      <c r="AB105" s="40">
        <f t="shared" si="154"/>
        <v>-100.64320892376998</v>
      </c>
      <c r="AC105" s="40">
        <f t="shared" si="155"/>
        <v>-79.35679107623001</v>
      </c>
      <c r="AD105" s="40">
        <f t="shared" si="156"/>
        <v>259.35679107623002</v>
      </c>
      <c r="AE105" s="40">
        <f t="shared" si="224"/>
        <v>-100.64320892376998</v>
      </c>
      <c r="AF105" s="40">
        <f t="shared" si="158"/>
        <v>6.5296622686994557</v>
      </c>
      <c r="AG105" s="40">
        <f t="shared" si="159"/>
        <v>294.32594880002586</v>
      </c>
      <c r="AH105" s="41">
        <f>COS(RADIANS(Z105))*COS(RADIANS(AB105-Insolation!$L$6))*SIN(RADIANS(0))+(SIN(RADIANS(Z105))*COS(RADIANS(0)))</f>
        <v>0.15314727758487498</v>
      </c>
      <c r="AI105" s="41">
        <f>COS(RADIANS(Z105))*COS(RADIANS(AB105-Insolation!$L$6))*SIN(RADIANS(Insolation!$L$7))+SIN(RADIANS(Z105))*COS(RADIANS(Insolation!$L$7))</f>
        <v>8.5172845705478006E-2</v>
      </c>
      <c r="AJ105" s="40">
        <f t="shared" si="160"/>
        <v>45.075217781309263</v>
      </c>
      <c r="AK105" s="40">
        <f t="shared" si="161"/>
        <v>37.574098604928203</v>
      </c>
      <c r="AL105" s="40">
        <f t="shared" si="162"/>
        <v>25.068578624263022</v>
      </c>
      <c r="AM105" s="40">
        <f>$X$91*AG105*((1+COS(RADIANS(Insolation!$L$7)))/2)</f>
        <v>34.287646486582403</v>
      </c>
      <c r="AN105" s="40">
        <f t="shared" si="163"/>
        <v>285.85014600631058</v>
      </c>
      <c r="AO105" s="40">
        <f t="shared" si="164"/>
        <v>17.158076460452996</v>
      </c>
      <c r="AP105" s="40">
        <f t="shared" si="165"/>
        <v>294.32594880002586</v>
      </c>
      <c r="AQ105" s="40">
        <f t="shared" si="166"/>
        <v>21.664234756989309</v>
      </c>
      <c r="AT105" s="48">
        <v>18</v>
      </c>
      <c r="AU105" s="40">
        <f t="shared" si="167"/>
        <v>1.4247786681588346</v>
      </c>
      <c r="AV105" s="181">
        <f t="shared" si="135"/>
        <v>-90</v>
      </c>
      <c r="AW105" s="40">
        <f t="shared" si="168"/>
        <v>-91.698583975470797</v>
      </c>
      <c r="AX105" s="40">
        <f t="shared" si="169"/>
        <v>-88.301416024529189</v>
      </c>
      <c r="AY105" s="40">
        <f t="shared" si="170"/>
        <v>268.3014160245292</v>
      </c>
      <c r="AZ105" s="40">
        <f t="shared" si="225"/>
        <v>-91.698583975470797</v>
      </c>
      <c r="BA105" s="40">
        <f t="shared" si="172"/>
        <v>40.217955415548708</v>
      </c>
      <c r="BB105" s="40">
        <f t="shared" si="173"/>
        <v>0.58461716243035666</v>
      </c>
      <c r="BC105" s="41">
        <f>COS(RADIANS(AU105))*COS(RADIANS(AW105-Insolation!$L$6))*SIN(RADIANS(0))+(SIN(RADIANS(AU105))*COS(RADIANS(0)))</f>
        <v>2.4864516101516909E-2</v>
      </c>
      <c r="BD105" s="41">
        <f>COS(RADIANS(AU105))*COS(RADIANS(AW105-Insolation!$L$6))*SIN(RADIANS(Insolation!$L$7))+SIN(RADIANS(AU105))*COS(RADIANS(Insolation!$L$7))</f>
        <v>6.6943595678469206E-2</v>
      </c>
      <c r="BE105" s="40">
        <f t="shared" si="174"/>
        <v>1.4536222848472729E-2</v>
      </c>
      <c r="BF105" s="40">
        <f t="shared" si="175"/>
        <v>6.5111291193553744E-2</v>
      </c>
      <c r="BG105" s="40">
        <f t="shared" si="176"/>
        <v>3.9136374948431751E-2</v>
      </c>
      <c r="BH105" s="40">
        <f>$AS$91*BB105*((1+COS(RADIANS(Insolation!$L$7)))/2)</f>
        <v>5.9416273912601097E-2</v>
      </c>
      <c r="BI105" s="40">
        <f t="shared" si="177"/>
        <v>0.58417961096044435</v>
      </c>
      <c r="BJ105" s="40">
        <f t="shared" si="178"/>
        <v>3.2105581563419437E-2</v>
      </c>
      <c r="BK105" s="40">
        <f t="shared" si="179"/>
        <v>0.58461716243035666</v>
      </c>
      <c r="BL105" s="40">
        <f t="shared" si="180"/>
        <v>3.3365125970913206E-2</v>
      </c>
      <c r="BO105" s="48">
        <v>18</v>
      </c>
      <c r="BP105" s="40">
        <f t="shared" si="181"/>
        <v>-6.1533690353707184</v>
      </c>
      <c r="BQ105" s="181">
        <f t="shared" si="136"/>
        <v>-90</v>
      </c>
      <c r="BR105" s="40">
        <f t="shared" si="182"/>
        <v>-82.617968921168199</v>
      </c>
      <c r="BS105" s="40">
        <f t="shared" si="183"/>
        <v>-82.617968921168199</v>
      </c>
      <c r="BT105" s="40">
        <f t="shared" si="184"/>
        <v>262.6179689211682</v>
      </c>
      <c r="BU105" s="40">
        <f t="shared" si="226"/>
        <v>-97.382031078831801</v>
      </c>
      <c r="BV105" s="40">
        <f t="shared" si="186"/>
        <v>9.3292096315917181</v>
      </c>
      <c r="BW105" s="40">
        <f t="shared" si="187"/>
        <v>0</v>
      </c>
      <c r="BX105" s="41">
        <f>COS(RADIANS(BP105))*COS(RADIANS(BR105-Insolation!$L$6))*SIN(RADIANS(0))+(SIN(RADIANS(BP105))*COS(RADIANS(0)))</f>
        <v>-0.10719021648025541</v>
      </c>
      <c r="BY105" s="41">
        <f>COS(RADIANS(BP105))*COS(RADIANS(BR105-Insolation!$L$6))*SIN(RADIANS(Insolation!$L$7))+SIN(RADIANS(BP105))*COS(RADIANS(Insolation!$L$7))</f>
        <v>4.5519494925757242E-2</v>
      </c>
      <c r="BZ105" s="40">
        <f t="shared" si="188"/>
        <v>0</v>
      </c>
      <c r="CA105" s="40">
        <f t="shared" si="189"/>
        <v>0</v>
      </c>
      <c r="CB105" s="40">
        <f t="shared" si="190"/>
        <v>0</v>
      </c>
      <c r="CC105" s="40">
        <f>$BN$91*BW105*((1+COS(RADIANS(Insolation!$L$7)))/2)</f>
        <v>0</v>
      </c>
      <c r="CD105" s="40">
        <f t="shared" si="191"/>
        <v>0</v>
      </c>
      <c r="CE105" s="40">
        <f t="shared" si="192"/>
        <v>0</v>
      </c>
      <c r="CF105" s="40">
        <f t="shared" si="193"/>
        <v>0</v>
      </c>
      <c r="CG105" s="40">
        <f t="shared" si="194"/>
        <v>0</v>
      </c>
      <c r="CJ105" s="48">
        <v>18</v>
      </c>
      <c r="CK105" s="40">
        <f t="shared" si="195"/>
        <v>-12.171492453947522</v>
      </c>
      <c r="CL105" s="181">
        <f t="shared" si="137"/>
        <v>-90</v>
      </c>
      <c r="CM105" s="40">
        <f t="shared" si="196"/>
        <v>-75.105167310046156</v>
      </c>
      <c r="CN105" s="40">
        <f t="shared" si="197"/>
        <v>-75.105167310046156</v>
      </c>
      <c r="CO105" s="40">
        <f t="shared" si="198"/>
        <v>255.10516731004617</v>
      </c>
      <c r="CP105" s="40">
        <f t="shared" si="227"/>
        <v>-104.89483268995383</v>
      </c>
      <c r="CQ105" s="40">
        <f t="shared" si="200"/>
        <v>4.7429677514464217</v>
      </c>
      <c r="CR105" s="40">
        <f t="shared" si="201"/>
        <v>0</v>
      </c>
      <c r="CS105" s="41">
        <f>COS(RADIANS(CK105))*COS(RADIANS(CM105-Insolation!$L$6))*SIN(RADIANS(0))+(SIN(RADIANS(CK105))*COS(RADIANS(0)))</f>
        <v>-0.21083845651175653</v>
      </c>
      <c r="CT105" s="41">
        <f>COS(RADIANS(CK105))*COS(RADIANS(CM105-Insolation!$L$6))*SIN(RADIANS(Insolation!$L$7))+SIN(RADIANS(CK105))*COS(RADIANS(Insolation!$L$7))</f>
        <v>2.675249483096237E-2</v>
      </c>
      <c r="CU105" s="40">
        <f t="shared" si="202"/>
        <v>0</v>
      </c>
      <c r="CV105" s="40">
        <f t="shared" si="203"/>
        <v>0</v>
      </c>
      <c r="CW105" s="40">
        <f t="shared" si="204"/>
        <v>0</v>
      </c>
      <c r="CX105" s="40">
        <f>$CI$91*CR105*((1+COS(RADIANS(Insolation!$L$7)))/2)</f>
        <v>0</v>
      </c>
      <c r="CY105" s="40">
        <f t="shared" si="205"/>
        <v>0</v>
      </c>
      <c r="CZ105" s="40">
        <f t="shared" si="206"/>
        <v>0</v>
      </c>
      <c r="DA105" s="40">
        <f t="shared" si="207"/>
        <v>0</v>
      </c>
      <c r="DB105" s="40">
        <f t="shared" si="208"/>
        <v>0</v>
      </c>
      <c r="DE105" s="48">
        <v>18</v>
      </c>
      <c r="DF105" s="40">
        <f t="shared" si="209"/>
        <v>-14.750749376009995</v>
      </c>
      <c r="DG105" s="181">
        <f t="shared" si="138"/>
        <v>-90</v>
      </c>
      <c r="DH105" s="40">
        <f t="shared" si="210"/>
        <v>-71.712868832958648</v>
      </c>
      <c r="DI105" s="40">
        <f t="shared" si="211"/>
        <v>-71.712868832958648</v>
      </c>
      <c r="DJ105" s="40">
        <f t="shared" si="212"/>
        <v>251.71286883295863</v>
      </c>
      <c r="DK105" s="40">
        <f t="shared" si="228"/>
        <v>-108.28713116704137</v>
      </c>
      <c r="DL105" s="40">
        <f t="shared" si="214"/>
        <v>3.927504607801763</v>
      </c>
      <c r="DM105" s="40">
        <f t="shared" si="215"/>
        <v>0</v>
      </c>
      <c r="DN105" s="41">
        <f>COS(RADIANS(DF105))*COS(RADIANS(DH105-Insolation!$L$6))*SIN(RADIANS(0))+(SIN(RADIANS(DF105))*COS(RADIANS(0)))</f>
        <v>-0.25461459625370197</v>
      </c>
      <c r="DO105" s="41">
        <f>COS(RADIANS(DF105))*COS(RADIANS(DH105-Insolation!$L$6))*SIN(RADIANS(Insolation!$L$7))+SIN(RADIANS(DF105))*COS(RADIANS(Insolation!$L$7))</f>
        <v>1.8256915367022147E-2</v>
      </c>
      <c r="DP105" s="40">
        <f t="shared" si="216"/>
        <v>0</v>
      </c>
      <c r="DQ105" s="40">
        <f t="shared" si="217"/>
        <v>0</v>
      </c>
      <c r="DR105" s="40">
        <f t="shared" si="218"/>
        <v>0</v>
      </c>
      <c r="DS105" s="40">
        <f>$DD$91*DM105*((1+COS(RADIANS(Insolation!$L$7)))/2)</f>
        <v>0</v>
      </c>
      <c r="DT105" s="40">
        <f t="shared" si="219"/>
        <v>0</v>
      </c>
      <c r="DU105" s="40">
        <f t="shared" si="220"/>
        <v>0</v>
      </c>
      <c r="DV105" s="40">
        <f t="shared" si="221"/>
        <v>0</v>
      </c>
      <c r="DW105" s="40">
        <f t="shared" si="222"/>
        <v>0</v>
      </c>
    </row>
    <row r="106" spans="2:127" x14ac:dyDescent="0.15">
      <c r="D106" s="48">
        <v>18.5</v>
      </c>
      <c r="E106" s="40">
        <f t="shared" si="139"/>
        <v>8.2066082237478497</v>
      </c>
      <c r="F106" s="181">
        <f t="shared" si="133"/>
        <v>-97.5</v>
      </c>
      <c r="G106" s="40">
        <f t="shared" si="140"/>
        <v>-111.26854656438923</v>
      </c>
      <c r="H106" s="40">
        <f t="shared" si="141"/>
        <v>-68.731453435610788</v>
      </c>
      <c r="I106" s="40">
        <f t="shared" si="142"/>
        <v>248.73145343561077</v>
      </c>
      <c r="J106" s="40">
        <f t="shared" si="223"/>
        <v>-111.26854656438923</v>
      </c>
      <c r="K106" s="40">
        <f t="shared" si="144"/>
        <v>7.0055931113928001</v>
      </c>
      <c r="L106" s="40">
        <f t="shared" si="145"/>
        <v>251.51825674175873</v>
      </c>
      <c r="M106" s="41">
        <f>COS(RADIANS(E106))*COS(RADIANS(G106-Insolation!$L$6))*SIN(RADIANS(0))+(SIN(RADIANS(E106))*COS(RADIANS(0)))</f>
        <v>0.14274308885763812</v>
      </c>
      <c r="N106" s="41">
        <f>COS(RADIANS(E106))*COS(RADIANS(G106-Insolation!$L$6))*SIN(RADIANS(Insolation!$L$7))+SIN(RADIANS(E106))*COS(RADIANS(Insolation!$L$7))</f>
        <v>-2.5605387008784258E-2</v>
      </c>
      <c r="O106" s="40">
        <f t="shared" si="146"/>
        <v>35.902492871407105</v>
      </c>
      <c r="P106" s="40">
        <f t="shared" si="147"/>
        <v>33.92135077188167</v>
      </c>
      <c r="Q106" s="40">
        <f t="shared" si="148"/>
        <v>0</v>
      </c>
      <c r="R106" s="40">
        <f>$C$91*L106*((1+COS(RADIANS(Insolation!$L$7)))/2)</f>
        <v>30.954389507592563</v>
      </c>
      <c r="S106" s="40">
        <f t="shared" si="149"/>
        <v>233.98910252140482</v>
      </c>
      <c r="T106" s="40">
        <f t="shared" si="150"/>
        <v>13.055786072020839</v>
      </c>
      <c r="U106" s="40">
        <f t="shared" si="151"/>
        <v>251.51825674175873</v>
      </c>
      <c r="V106" s="40">
        <f t="shared" si="152"/>
        <v>19.381694579641742</v>
      </c>
      <c r="Y106" s="48">
        <v>18.5</v>
      </c>
      <c r="Z106" s="40">
        <f t="shared" si="153"/>
        <v>3.2124137187108714</v>
      </c>
      <c r="AA106" s="181">
        <f t="shared" si="134"/>
        <v>-97.5</v>
      </c>
      <c r="AB106" s="40">
        <f t="shared" si="154"/>
        <v>-105.33212425497084</v>
      </c>
      <c r="AC106" s="40">
        <f t="shared" si="155"/>
        <v>-74.66787574502915</v>
      </c>
      <c r="AD106" s="40">
        <f t="shared" si="156"/>
        <v>254.66787574502916</v>
      </c>
      <c r="AE106" s="40">
        <f t="shared" si="224"/>
        <v>-105.33212425497084</v>
      </c>
      <c r="AF106" s="40">
        <f t="shared" si="158"/>
        <v>17.845089098296295</v>
      </c>
      <c r="AG106" s="40">
        <f t="shared" si="159"/>
        <v>29.737886545775652</v>
      </c>
      <c r="AH106" s="41">
        <f>COS(RADIANS(Z106))*COS(RADIANS(AB106-Insolation!$L$6))*SIN(RADIANS(0))+(SIN(RADIANS(Z106))*COS(RADIANS(0)))</f>
        <v>5.6037826120771336E-2</v>
      </c>
      <c r="AI106" s="41">
        <f>COS(RADIANS(Z106))*COS(RADIANS(AB106-Insolation!$L$6))*SIN(RADIANS(Insolation!$L$7))+SIN(RADIANS(Z106))*COS(RADIANS(Insolation!$L$7))</f>
        <v>-4.1226794015576128E-2</v>
      </c>
      <c r="AJ106" s="40">
        <f t="shared" si="160"/>
        <v>1.6664465154514012</v>
      </c>
      <c r="AK106" s="40">
        <f t="shared" si="161"/>
        <v>3.7963838592169821</v>
      </c>
      <c r="AL106" s="40">
        <f t="shared" si="162"/>
        <v>0</v>
      </c>
      <c r="AM106" s="40">
        <f>$X$91*AG106*((1+COS(RADIANS(Insolation!$L$7)))/2)</f>
        <v>3.4643297517488918</v>
      </c>
      <c r="AN106" s="40">
        <f t="shared" si="163"/>
        <v>28.881514680190925</v>
      </c>
      <c r="AO106" s="40">
        <f t="shared" si="164"/>
        <v>1.5499564716472771</v>
      </c>
      <c r="AP106" s="40">
        <f t="shared" si="165"/>
        <v>29.737886545775652</v>
      </c>
      <c r="AQ106" s="40">
        <f t="shared" si="166"/>
        <v>2.0045624789037433</v>
      </c>
      <c r="AT106" s="48">
        <v>18.5</v>
      </c>
      <c r="AU106" s="40">
        <f t="shared" si="167"/>
        <v>-4.3040671718068397</v>
      </c>
      <c r="AV106" s="181">
        <f t="shared" si="135"/>
        <v>-97.5</v>
      </c>
      <c r="AW106" s="40">
        <f t="shared" si="168"/>
        <v>-96.533903248395973</v>
      </c>
      <c r="AX106" s="40">
        <f t="shared" si="169"/>
        <v>-83.466096751604027</v>
      </c>
      <c r="AY106" s="40">
        <f t="shared" si="170"/>
        <v>263.46609675160403</v>
      </c>
      <c r="AZ106" s="40">
        <f t="shared" si="225"/>
        <v>-96.533903248395973</v>
      </c>
      <c r="BA106" s="40">
        <f t="shared" si="172"/>
        <v>13.324536942744043</v>
      </c>
      <c r="BB106" s="40">
        <f t="shared" si="173"/>
        <v>0</v>
      </c>
      <c r="BC106" s="41">
        <f>COS(RADIANS(AU106))*COS(RADIANS(AW106-Insolation!$L$6))*SIN(RADIANS(0))+(SIN(RADIANS(AU106))*COS(RADIANS(0)))</f>
        <v>-7.5049512361820281E-2</v>
      </c>
      <c r="BD106" s="41">
        <f>COS(RADIANS(AU106))*COS(RADIANS(AW106-Insolation!$L$6))*SIN(RADIANS(Insolation!$L$7))+SIN(RADIANS(AU106))*COS(RADIANS(Insolation!$L$7))</f>
        <v>-6.3106538581772786E-2</v>
      </c>
      <c r="BE106" s="40">
        <f t="shared" si="174"/>
        <v>0</v>
      </c>
      <c r="BF106" s="40">
        <f t="shared" si="175"/>
        <v>0</v>
      </c>
      <c r="BG106" s="40">
        <f t="shared" si="176"/>
        <v>0</v>
      </c>
      <c r="BH106" s="40">
        <f>$AS$91*BB106*((1+COS(RADIANS(Insolation!$L$7)))/2)</f>
        <v>0</v>
      </c>
      <c r="BI106" s="40">
        <f t="shared" si="177"/>
        <v>0</v>
      </c>
      <c r="BJ106" s="40">
        <f t="shared" si="178"/>
        <v>0</v>
      </c>
      <c r="BK106" s="40">
        <f t="shared" si="179"/>
        <v>0</v>
      </c>
      <c r="BL106" s="40">
        <f t="shared" si="180"/>
        <v>0</v>
      </c>
      <c r="BO106" s="48">
        <v>18.5</v>
      </c>
      <c r="BP106" s="40">
        <f t="shared" si="181"/>
        <v>-11.875105685941536</v>
      </c>
      <c r="BQ106" s="181">
        <f t="shared" si="136"/>
        <v>-97.5</v>
      </c>
      <c r="BR106" s="40">
        <f t="shared" si="182"/>
        <v>-87.363289686077181</v>
      </c>
      <c r="BS106" s="40">
        <f t="shared" si="183"/>
        <v>-87.363289686077181</v>
      </c>
      <c r="BT106" s="40">
        <f t="shared" si="184"/>
        <v>267.36328968607717</v>
      </c>
      <c r="BU106" s="40">
        <f t="shared" si="226"/>
        <v>-92.636710313922833</v>
      </c>
      <c r="BV106" s="40">
        <f t="shared" si="186"/>
        <v>4.8595819947508199</v>
      </c>
      <c r="BW106" s="40">
        <f t="shared" si="187"/>
        <v>0</v>
      </c>
      <c r="BX106" s="41">
        <f>COS(RADIANS(BP106))*COS(RADIANS(BR106-Insolation!$L$6))*SIN(RADIANS(0))+(SIN(RADIANS(BP106))*COS(RADIANS(0)))</f>
        <v>-0.20577901578369726</v>
      </c>
      <c r="BY106" s="41">
        <f>COS(RADIANS(BP106))*COS(RADIANS(BR106-Insolation!$L$6))*SIN(RADIANS(Insolation!$L$7))+SIN(RADIANS(BP106))*COS(RADIANS(Insolation!$L$7))</f>
        <v>-8.2805694070834435E-2</v>
      </c>
      <c r="BZ106" s="40">
        <f t="shared" si="188"/>
        <v>0</v>
      </c>
      <c r="CA106" s="40">
        <f t="shared" si="189"/>
        <v>0</v>
      </c>
      <c r="CB106" s="40">
        <f t="shared" si="190"/>
        <v>0</v>
      </c>
      <c r="CC106" s="40">
        <f>$BN$91*BW106*((1+COS(RADIANS(Insolation!$L$7)))/2)</f>
        <v>0</v>
      </c>
      <c r="CD106" s="40">
        <f t="shared" si="191"/>
        <v>0</v>
      </c>
      <c r="CE106" s="40">
        <f t="shared" si="192"/>
        <v>0</v>
      </c>
      <c r="CF106" s="40">
        <f t="shared" si="193"/>
        <v>0</v>
      </c>
      <c r="CG106" s="40">
        <f t="shared" si="194"/>
        <v>0</v>
      </c>
      <c r="CJ106" s="48">
        <v>18.5</v>
      </c>
      <c r="CK106" s="40">
        <f t="shared" si="195"/>
        <v>-17.775941961624607</v>
      </c>
      <c r="CL106" s="181">
        <f t="shared" si="137"/>
        <v>-97.5</v>
      </c>
      <c r="CM106" s="40">
        <f t="shared" si="196"/>
        <v>-79.59340001730213</v>
      </c>
      <c r="CN106" s="40">
        <f t="shared" si="197"/>
        <v>-79.59340001730213</v>
      </c>
      <c r="CO106" s="40">
        <f t="shared" si="198"/>
        <v>259.59340001730214</v>
      </c>
      <c r="CP106" s="40">
        <f t="shared" si="227"/>
        <v>-100.40659998269786</v>
      </c>
      <c r="CQ106" s="40">
        <f t="shared" si="200"/>
        <v>3.275515178322288</v>
      </c>
      <c r="CR106" s="40">
        <f t="shared" si="201"/>
        <v>0</v>
      </c>
      <c r="CS106" s="41">
        <f>COS(RADIANS(CK106))*COS(RADIANS(CM106-Insolation!$L$6))*SIN(RADIANS(0))+(SIN(RADIANS(CK106))*COS(RADIANS(0)))</f>
        <v>-0.305295486529297</v>
      </c>
      <c r="CT106" s="41">
        <f>COS(RADIANS(CK106))*COS(RADIANS(CM106-Insolation!$L$6))*SIN(RADIANS(Insolation!$L$7))+SIN(RADIANS(CK106))*COS(RADIANS(Insolation!$L$7))</f>
        <v>-9.6194699117005428E-2</v>
      </c>
      <c r="CU106" s="40">
        <f t="shared" si="202"/>
        <v>0</v>
      </c>
      <c r="CV106" s="40">
        <f t="shared" si="203"/>
        <v>0</v>
      </c>
      <c r="CW106" s="40">
        <f t="shared" si="204"/>
        <v>0</v>
      </c>
      <c r="CX106" s="40">
        <f>$CI$91*CR106*((1+COS(RADIANS(Insolation!$L$7)))/2)</f>
        <v>0</v>
      </c>
      <c r="CY106" s="40">
        <f t="shared" si="205"/>
        <v>0</v>
      </c>
      <c r="CZ106" s="40">
        <f t="shared" si="206"/>
        <v>0</v>
      </c>
      <c r="DA106" s="40">
        <f t="shared" si="207"/>
        <v>0</v>
      </c>
      <c r="DB106" s="40">
        <f t="shared" si="208"/>
        <v>0</v>
      </c>
      <c r="DE106" s="48">
        <v>18.5</v>
      </c>
      <c r="DF106" s="40">
        <f t="shared" si="209"/>
        <v>-20.268787693646761</v>
      </c>
      <c r="DG106" s="181">
        <f t="shared" si="138"/>
        <v>-97.5</v>
      </c>
      <c r="DH106" s="40">
        <f t="shared" si="210"/>
        <v>-76.034083855529374</v>
      </c>
      <c r="DI106" s="40">
        <f t="shared" si="211"/>
        <v>-76.034083855529374</v>
      </c>
      <c r="DJ106" s="40">
        <f t="shared" si="212"/>
        <v>256.03408385552939</v>
      </c>
      <c r="DK106" s="40">
        <f t="shared" si="228"/>
        <v>-103.96591614447061</v>
      </c>
      <c r="DL106" s="40">
        <f t="shared" si="214"/>
        <v>2.8866303796605068</v>
      </c>
      <c r="DM106" s="40">
        <f t="shared" si="215"/>
        <v>0</v>
      </c>
      <c r="DN106" s="41">
        <f>COS(RADIANS(DF106))*COS(RADIANS(DH106-Insolation!$L$6))*SIN(RADIANS(0))+(SIN(RADIANS(DF106))*COS(RADIANS(0)))</f>
        <v>-0.34642467807659144</v>
      </c>
      <c r="DO106" s="41">
        <f>COS(RADIANS(DF106))*COS(RADIANS(DH106-Insolation!$L$6))*SIN(RADIANS(Insolation!$L$7))+SIN(RADIANS(DF106))*COS(RADIANS(Insolation!$L$7))</f>
        <v>-0.10124495690401428</v>
      </c>
      <c r="DP106" s="40">
        <f t="shared" si="216"/>
        <v>0</v>
      </c>
      <c r="DQ106" s="40">
        <f t="shared" si="217"/>
        <v>0</v>
      </c>
      <c r="DR106" s="40">
        <f t="shared" si="218"/>
        <v>0</v>
      </c>
      <c r="DS106" s="40">
        <f>$DD$91*DM106*((1+COS(RADIANS(Insolation!$L$7)))/2)</f>
        <v>0</v>
      </c>
      <c r="DT106" s="40">
        <f t="shared" si="219"/>
        <v>0</v>
      </c>
      <c r="DU106" s="40">
        <f t="shared" si="220"/>
        <v>0</v>
      </c>
      <c r="DV106" s="40">
        <f t="shared" si="221"/>
        <v>0</v>
      </c>
      <c r="DW106" s="40">
        <f t="shared" si="222"/>
        <v>0</v>
      </c>
    </row>
    <row r="107" spans="2:127" x14ac:dyDescent="0.15">
      <c r="D107" s="48">
        <v>19</v>
      </c>
      <c r="E107" s="40">
        <f t="shared" si="139"/>
        <v>2.9413897117249181</v>
      </c>
      <c r="F107" s="181">
        <f t="shared" si="133"/>
        <v>-105</v>
      </c>
      <c r="G107" s="40">
        <f t="shared" si="140"/>
        <v>-115.86917649163482</v>
      </c>
      <c r="H107" s="40">
        <f t="shared" si="141"/>
        <v>-64.130823508365182</v>
      </c>
      <c r="I107" s="40">
        <f t="shared" si="142"/>
        <v>244.13082350836518</v>
      </c>
      <c r="J107" s="40">
        <f t="shared" si="223"/>
        <v>-115.86917649163482</v>
      </c>
      <c r="K107" s="40">
        <f t="shared" si="144"/>
        <v>19.487711544536836</v>
      </c>
      <c r="L107" s="40">
        <f t="shared" si="145"/>
        <v>18.545227257294574</v>
      </c>
      <c r="M107" s="41">
        <f>COS(RADIANS(E107))*COS(RADIANS(G107-Insolation!$L$6))*SIN(RADIANS(0))+(SIN(RADIANS(E107))*COS(RADIANS(0)))</f>
        <v>5.1314388439844233E-2</v>
      </c>
      <c r="N107" s="41">
        <f>COS(RADIANS(E107))*COS(RADIANS(G107-Insolation!$L$6))*SIN(RADIANS(Insolation!$L$7))+SIN(RADIANS(E107))*COS(RADIANS(Insolation!$L$7))</f>
        <v>-0.14561548823480319</v>
      </c>
      <c r="O107" s="40">
        <f t="shared" si="146"/>
        <v>0.95163699518600087</v>
      </c>
      <c r="P107" s="40">
        <f t="shared" si="147"/>
        <v>2.501127222684453</v>
      </c>
      <c r="Q107" s="40">
        <f t="shared" si="148"/>
        <v>0</v>
      </c>
      <c r="R107" s="40">
        <f>$C$91*L107*((1+COS(RADIANS(Insolation!$L$7)))/2)</f>
        <v>2.2823638946357647</v>
      </c>
      <c r="S107" s="40">
        <f t="shared" si="149"/>
        <v>17.252747924558108</v>
      </c>
      <c r="T107" s="40">
        <f t="shared" si="150"/>
        <v>0.85218232536400773</v>
      </c>
      <c r="U107" s="40">
        <f t="shared" si="151"/>
        <v>18.545227257294574</v>
      </c>
      <c r="V107" s="40">
        <f t="shared" si="152"/>
        <v>1.314735518263376</v>
      </c>
      <c r="Y107" s="48">
        <v>19</v>
      </c>
      <c r="Z107" s="40">
        <f t="shared" si="153"/>
        <v>-2.2586147819570428</v>
      </c>
      <c r="AA107" s="181">
        <f t="shared" si="134"/>
        <v>-105</v>
      </c>
      <c r="AB107" s="40">
        <f t="shared" si="154"/>
        <v>-110.14249640816092</v>
      </c>
      <c r="AC107" s="40">
        <f t="shared" si="155"/>
        <v>-69.857503591839077</v>
      </c>
      <c r="AD107" s="40">
        <f t="shared" si="156"/>
        <v>249.85750359183908</v>
      </c>
      <c r="AE107" s="40">
        <f t="shared" si="224"/>
        <v>-110.14249640816092</v>
      </c>
      <c r="AF107" s="40">
        <f t="shared" si="158"/>
        <v>25.374234623938133</v>
      </c>
      <c r="AG107" s="40">
        <f t="shared" si="159"/>
        <v>0</v>
      </c>
      <c r="AH107" s="41">
        <f>COS(RADIANS(Z107))*COS(RADIANS(AB107-Insolation!$L$6))*SIN(RADIANS(0))+(SIN(RADIANS(Z107))*COS(RADIANS(0)))</f>
        <v>-3.941005570495501E-2</v>
      </c>
      <c r="AI107" s="41">
        <f>COS(RADIANS(Z107))*COS(RADIANS(AB107-Insolation!$L$6))*SIN(RADIANS(Insolation!$L$7))+SIN(RADIANS(Z107))*COS(RADIANS(Insolation!$L$7))</f>
        <v>-0.16651250744441198</v>
      </c>
      <c r="AJ107" s="40">
        <f t="shared" si="160"/>
        <v>0</v>
      </c>
      <c r="AK107" s="40">
        <f t="shared" si="161"/>
        <v>0</v>
      </c>
      <c r="AL107" s="40">
        <f t="shared" si="162"/>
        <v>0</v>
      </c>
      <c r="AM107" s="40">
        <f>$X$91*AG107*((1+COS(RADIANS(Insolation!$L$7)))/2)</f>
        <v>0</v>
      </c>
      <c r="AN107" s="40">
        <f t="shared" si="163"/>
        <v>0</v>
      </c>
      <c r="AO107" s="40">
        <f t="shared" si="164"/>
        <v>0</v>
      </c>
      <c r="AP107" s="40">
        <f t="shared" si="165"/>
        <v>0</v>
      </c>
      <c r="AQ107" s="40">
        <f t="shared" si="166"/>
        <v>0</v>
      </c>
      <c r="AT107" s="48">
        <v>19</v>
      </c>
      <c r="AU107" s="40">
        <f t="shared" si="167"/>
        <v>-9.9770667610659451</v>
      </c>
      <c r="AV107" s="181">
        <f t="shared" si="135"/>
        <v>-105</v>
      </c>
      <c r="AW107" s="40">
        <f t="shared" si="168"/>
        <v>-101.47154119649633</v>
      </c>
      <c r="AX107" s="40">
        <f t="shared" si="169"/>
        <v>-78.528458803503696</v>
      </c>
      <c r="AY107" s="40">
        <f t="shared" si="170"/>
        <v>258.52845880350367</v>
      </c>
      <c r="AZ107" s="40">
        <f t="shared" si="225"/>
        <v>-101.47154119649633</v>
      </c>
      <c r="BA107" s="40">
        <f t="shared" si="172"/>
        <v>5.7718730406891234</v>
      </c>
      <c r="BB107" s="40">
        <f t="shared" si="173"/>
        <v>0</v>
      </c>
      <c r="BC107" s="41">
        <f>COS(RADIANS(AU107))*COS(RADIANS(AW107-Insolation!$L$6))*SIN(RADIANS(0))+(SIN(RADIANS(AU107))*COS(RADIANS(0)))</f>
        <v>-0.17325398409674767</v>
      </c>
      <c r="BD107" s="41">
        <f>COS(RADIANS(AU107))*COS(RADIANS(AW107-Insolation!$L$6))*SIN(RADIANS(Insolation!$L$7))+SIN(RADIANS(AU107))*COS(RADIANS(Insolation!$L$7))</f>
        <v>-0.19201057571563809</v>
      </c>
      <c r="BE107" s="40">
        <f t="shared" si="174"/>
        <v>0</v>
      </c>
      <c r="BF107" s="40">
        <f t="shared" si="175"/>
        <v>0</v>
      </c>
      <c r="BG107" s="40">
        <f t="shared" si="176"/>
        <v>0</v>
      </c>
      <c r="BH107" s="40">
        <f>$AS$91*BB107*((1+COS(RADIANS(Insolation!$L$7)))/2)</f>
        <v>0</v>
      </c>
      <c r="BI107" s="40">
        <f t="shared" si="177"/>
        <v>0</v>
      </c>
      <c r="BJ107" s="40">
        <f t="shared" si="178"/>
        <v>0</v>
      </c>
      <c r="BK107" s="40">
        <f t="shared" si="179"/>
        <v>0</v>
      </c>
      <c r="BL107" s="40">
        <f t="shared" si="180"/>
        <v>0</v>
      </c>
      <c r="BO107" s="48">
        <v>19</v>
      </c>
      <c r="BP107" s="40">
        <f t="shared" si="181"/>
        <v>-17.618697574680656</v>
      </c>
      <c r="BQ107" s="181">
        <f t="shared" si="136"/>
        <v>-105</v>
      </c>
      <c r="BR107" s="40">
        <f t="shared" si="182"/>
        <v>-92.182237935034777</v>
      </c>
      <c r="BS107" s="40">
        <f t="shared" si="183"/>
        <v>-87.817762064965251</v>
      </c>
      <c r="BT107" s="40">
        <f t="shared" si="184"/>
        <v>267.81776206496522</v>
      </c>
      <c r="BU107" s="40">
        <f t="shared" si="226"/>
        <v>-92.182237935034777</v>
      </c>
      <c r="BV107" s="40">
        <f t="shared" si="186"/>
        <v>3.3038090268082061</v>
      </c>
      <c r="BW107" s="40">
        <f t="shared" si="187"/>
        <v>0</v>
      </c>
      <c r="BX107" s="41">
        <f>COS(RADIANS(BP107))*COS(RADIANS(BR107-Insolation!$L$6))*SIN(RADIANS(0))+(SIN(RADIANS(BP107))*COS(RADIANS(0)))</f>
        <v>-0.30268093339707808</v>
      </c>
      <c r="BY107" s="41">
        <f>COS(RADIANS(BP107))*COS(RADIANS(BR107-Insolation!$L$6))*SIN(RADIANS(Insolation!$L$7))+SIN(RADIANS(BP107))*COS(RADIANS(Insolation!$L$7))</f>
        <v>-0.2099999874233163</v>
      </c>
      <c r="BZ107" s="40">
        <f t="shared" si="188"/>
        <v>0</v>
      </c>
      <c r="CA107" s="40">
        <f t="shared" si="189"/>
        <v>0</v>
      </c>
      <c r="CB107" s="40">
        <f t="shared" si="190"/>
        <v>0</v>
      </c>
      <c r="CC107" s="40">
        <f>$BN$91*BW107*((1+COS(RADIANS(Insolation!$L$7)))/2)</f>
        <v>0</v>
      </c>
      <c r="CD107" s="40">
        <f t="shared" si="191"/>
        <v>0</v>
      </c>
      <c r="CE107" s="40">
        <f t="shared" si="192"/>
        <v>0</v>
      </c>
      <c r="CF107" s="40">
        <f t="shared" si="193"/>
        <v>0</v>
      </c>
      <c r="CG107" s="40">
        <f t="shared" si="194"/>
        <v>0</v>
      </c>
      <c r="CJ107" s="48">
        <v>19</v>
      </c>
      <c r="CK107" s="40">
        <f t="shared" si="195"/>
        <v>-23.461723090153047</v>
      </c>
      <c r="CL107" s="181">
        <f t="shared" si="137"/>
        <v>-105</v>
      </c>
      <c r="CM107" s="40">
        <f t="shared" si="196"/>
        <v>-84.111828793119926</v>
      </c>
      <c r="CN107" s="40">
        <f t="shared" si="197"/>
        <v>-84.111828793119926</v>
      </c>
      <c r="CO107" s="40">
        <f t="shared" si="198"/>
        <v>264.11182879311991</v>
      </c>
      <c r="CP107" s="40">
        <f t="shared" si="227"/>
        <v>-95.888171206880088</v>
      </c>
      <c r="CQ107" s="40">
        <f t="shared" si="200"/>
        <v>2.5117024576889806</v>
      </c>
      <c r="CR107" s="40">
        <f t="shared" si="201"/>
        <v>0</v>
      </c>
      <c r="CS107" s="41">
        <f>COS(RADIANS(CK107))*COS(RADIANS(CM107-Insolation!$L$6))*SIN(RADIANS(0))+(SIN(RADIANS(CK107))*COS(RADIANS(0)))</f>
        <v>-0.39813633057480097</v>
      </c>
      <c r="CT107" s="41">
        <f>COS(RADIANS(CK107))*COS(RADIANS(CM107-Insolation!$L$6))*SIN(RADIANS(Insolation!$L$7))+SIN(RADIANS(CK107))*COS(RADIANS(Insolation!$L$7))</f>
        <v>-0.2180583922559875</v>
      </c>
      <c r="CU107" s="40">
        <f t="shared" si="202"/>
        <v>0</v>
      </c>
      <c r="CV107" s="40">
        <f t="shared" si="203"/>
        <v>0</v>
      </c>
      <c r="CW107" s="40">
        <f t="shared" si="204"/>
        <v>0</v>
      </c>
      <c r="CX107" s="40">
        <f>$CI$91*CR107*((1+COS(RADIANS(Insolation!$L$7)))/2)</f>
        <v>0</v>
      </c>
      <c r="CY107" s="40">
        <f t="shared" si="205"/>
        <v>0</v>
      </c>
      <c r="CZ107" s="40">
        <f t="shared" si="206"/>
        <v>0</v>
      </c>
      <c r="DA107" s="40">
        <f t="shared" si="207"/>
        <v>0</v>
      </c>
      <c r="DB107" s="40">
        <f t="shared" si="208"/>
        <v>0</v>
      </c>
      <c r="DE107" s="48">
        <v>19</v>
      </c>
      <c r="DF107" s="40">
        <f t="shared" si="209"/>
        <v>-25.891215468997618</v>
      </c>
      <c r="DG107" s="181">
        <f t="shared" si="138"/>
        <v>-105</v>
      </c>
      <c r="DH107" s="40">
        <f t="shared" si="210"/>
        <v>-80.357941062084379</v>
      </c>
      <c r="DI107" s="40">
        <f t="shared" si="211"/>
        <v>-80.357941062084379</v>
      </c>
      <c r="DJ107" s="40">
        <f t="shared" si="212"/>
        <v>260.35794106208436</v>
      </c>
      <c r="DK107" s="40">
        <f t="shared" si="228"/>
        <v>-99.642058937915635</v>
      </c>
      <c r="DL107" s="40">
        <f t="shared" si="214"/>
        <v>2.2900910347051773</v>
      </c>
      <c r="DM107" s="40">
        <f t="shared" si="215"/>
        <v>0</v>
      </c>
      <c r="DN107" s="41">
        <f>COS(RADIANS(DF107))*COS(RADIANS(DH107-Insolation!$L$6))*SIN(RADIANS(0))+(SIN(RADIANS(DF107))*COS(RADIANS(0)))</f>
        <v>-0.43666386394492757</v>
      </c>
      <c r="DO107" s="41">
        <f>COS(RADIANS(DF107))*COS(RADIANS(DH107-Insolation!$L$6))*SIN(RADIANS(Insolation!$L$7))+SIN(RADIANS(DF107))*COS(RADIANS(Insolation!$L$7))</f>
        <v>-0.21969369106654166</v>
      </c>
      <c r="DP107" s="40">
        <f t="shared" si="216"/>
        <v>0</v>
      </c>
      <c r="DQ107" s="40">
        <f t="shared" si="217"/>
        <v>0</v>
      </c>
      <c r="DR107" s="40">
        <f t="shared" si="218"/>
        <v>0</v>
      </c>
      <c r="DS107" s="40">
        <f>$DD$91*DM107*((1+COS(RADIANS(Insolation!$L$7)))/2)</f>
        <v>0</v>
      </c>
      <c r="DT107" s="40">
        <f t="shared" si="219"/>
        <v>0</v>
      </c>
      <c r="DU107" s="40">
        <f t="shared" si="220"/>
        <v>0</v>
      </c>
      <c r="DV107" s="40">
        <f t="shared" si="221"/>
        <v>0</v>
      </c>
      <c r="DW107" s="40">
        <f t="shared" si="222"/>
        <v>0</v>
      </c>
    </row>
    <row r="108" spans="2:127" x14ac:dyDescent="0.15">
      <c r="D108" s="48">
        <v>19.5</v>
      </c>
      <c r="E108" s="40">
        <f t="shared" si="139"/>
        <v>-2.1180391719884968</v>
      </c>
      <c r="F108" s="181">
        <f t="shared" si="133"/>
        <v>-112.5</v>
      </c>
      <c r="G108" s="40">
        <f t="shared" si="140"/>
        <v>-120.67456193407267</v>
      </c>
      <c r="H108" s="40">
        <f t="shared" si="141"/>
        <v>-59.325438065927337</v>
      </c>
      <c r="I108" s="40">
        <f t="shared" si="142"/>
        <v>239.32543806592733</v>
      </c>
      <c r="J108" s="40">
        <f t="shared" si="223"/>
        <v>-120.67456193407267</v>
      </c>
      <c r="K108" s="40">
        <f t="shared" si="144"/>
        <v>27.057493486632264</v>
      </c>
      <c r="L108" s="40">
        <f t="shared" si="145"/>
        <v>0</v>
      </c>
      <c r="M108" s="41">
        <f>COS(RADIANS(E108))*COS(RADIANS(G108-Insolation!$L$6))*SIN(RADIANS(0))+(SIN(RADIANS(E108))*COS(RADIANS(0)))</f>
        <v>-3.6958338380236488E-2</v>
      </c>
      <c r="N108" s="41">
        <f>COS(RADIANS(E108))*COS(RADIANS(G108-Insolation!$L$6))*SIN(RADIANS(Insolation!$L$7))+SIN(RADIANS(E108))*COS(RADIANS(Insolation!$L$7))</f>
        <v>-0.26250516299542537</v>
      </c>
      <c r="O108" s="40">
        <f t="shared" si="146"/>
        <v>0</v>
      </c>
      <c r="P108" s="40">
        <f t="shared" si="147"/>
        <v>0</v>
      </c>
      <c r="Q108" s="40">
        <f t="shared" si="148"/>
        <v>0</v>
      </c>
      <c r="R108" s="40">
        <f>$C$91*L108*((1+COS(RADIANS(Insolation!$L$7)))/2)</f>
        <v>0</v>
      </c>
      <c r="S108" s="40">
        <f t="shared" si="149"/>
        <v>0</v>
      </c>
      <c r="T108" s="40">
        <f t="shared" si="150"/>
        <v>0</v>
      </c>
      <c r="U108" s="40">
        <f t="shared" si="151"/>
        <v>0</v>
      </c>
      <c r="V108" s="40">
        <f t="shared" si="152"/>
        <v>0</v>
      </c>
      <c r="Y108" s="48">
        <v>19.5</v>
      </c>
      <c r="Z108" s="40">
        <f t="shared" si="153"/>
        <v>-7.5599346348166687</v>
      </c>
      <c r="AA108" s="181">
        <f t="shared" si="134"/>
        <v>-112.5</v>
      </c>
      <c r="AB108" s="40">
        <f t="shared" si="154"/>
        <v>-115.15759098934018</v>
      </c>
      <c r="AC108" s="40">
        <f t="shared" si="155"/>
        <v>-64.842409010659836</v>
      </c>
      <c r="AD108" s="40">
        <f t="shared" si="156"/>
        <v>244.84240901065982</v>
      </c>
      <c r="AE108" s="40">
        <f t="shared" si="224"/>
        <v>-115.15759098934018</v>
      </c>
      <c r="AF108" s="40">
        <f t="shared" si="158"/>
        <v>7.6009080493174146</v>
      </c>
      <c r="AG108" s="40">
        <f t="shared" si="159"/>
        <v>0</v>
      </c>
      <c r="AH108" s="41">
        <f>COS(RADIANS(Z108))*COS(RADIANS(AB108-Insolation!$L$6))*SIN(RADIANS(0))+(SIN(RADIANS(Z108))*COS(RADIANS(0)))</f>
        <v>-0.13156322817111346</v>
      </c>
      <c r="AI108" s="41">
        <f>COS(RADIANS(Z108))*COS(RADIANS(AB108-Insolation!$L$6))*SIN(RADIANS(Insolation!$L$7))+SIN(RADIANS(Z108))*COS(RADIANS(Insolation!$L$7))</f>
        <v>-0.28854062128849839</v>
      </c>
      <c r="AJ108" s="40">
        <f t="shared" si="160"/>
        <v>0</v>
      </c>
      <c r="AK108" s="40">
        <f t="shared" si="161"/>
        <v>0</v>
      </c>
      <c r="AL108" s="40">
        <f t="shared" si="162"/>
        <v>0</v>
      </c>
      <c r="AM108" s="40">
        <f>$X$91*AG108*((1+COS(RADIANS(Insolation!$L$7)))/2)</f>
        <v>0</v>
      </c>
      <c r="AN108" s="40">
        <f t="shared" si="163"/>
        <v>0</v>
      </c>
      <c r="AO108" s="40">
        <f t="shared" si="164"/>
        <v>0</v>
      </c>
      <c r="AP108" s="40">
        <f t="shared" si="165"/>
        <v>0</v>
      </c>
      <c r="AQ108" s="40">
        <f t="shared" si="166"/>
        <v>0</v>
      </c>
      <c r="AT108" s="48">
        <v>19.5</v>
      </c>
      <c r="AU108" s="40">
        <f t="shared" si="167"/>
        <v>-15.549369170884754</v>
      </c>
      <c r="AV108" s="181">
        <f t="shared" si="135"/>
        <v>-112.5</v>
      </c>
      <c r="AW108" s="40">
        <f t="shared" si="168"/>
        <v>-106.61243182468959</v>
      </c>
      <c r="AX108" s="40">
        <f t="shared" si="169"/>
        <v>-73.387568175310406</v>
      </c>
      <c r="AY108" s="40">
        <f t="shared" si="170"/>
        <v>253.38756817531041</v>
      </c>
      <c r="AZ108" s="40">
        <f t="shared" si="225"/>
        <v>-106.61243182468959</v>
      </c>
      <c r="BA108" s="40">
        <f t="shared" si="172"/>
        <v>3.7303885078414747</v>
      </c>
      <c r="BB108" s="40">
        <f t="shared" si="173"/>
        <v>0</v>
      </c>
      <c r="BC108" s="41">
        <f>COS(RADIANS(AU108))*COS(RADIANS(AW108-Insolation!$L$6))*SIN(RADIANS(0))+(SIN(RADIANS(AU108))*COS(RADIANS(0)))</f>
        <v>-0.26806859336445704</v>
      </c>
      <c r="BD108" s="41">
        <f>COS(RADIANS(AU108))*COS(RADIANS(AW108-Insolation!$L$6))*SIN(RADIANS(Insolation!$L$7))+SIN(RADIANS(AU108))*COS(RADIANS(Insolation!$L$7))</f>
        <v>-0.3175629319088179</v>
      </c>
      <c r="BE108" s="40">
        <f t="shared" si="174"/>
        <v>0</v>
      </c>
      <c r="BF108" s="40">
        <f t="shared" si="175"/>
        <v>0</v>
      </c>
      <c r="BG108" s="40">
        <f t="shared" si="176"/>
        <v>0</v>
      </c>
      <c r="BH108" s="40">
        <f>$AS$91*BB108*((1+COS(RADIANS(Insolation!$L$7)))/2)</f>
        <v>0</v>
      </c>
      <c r="BI108" s="40">
        <f t="shared" si="177"/>
        <v>0</v>
      </c>
      <c r="BJ108" s="40">
        <f t="shared" si="178"/>
        <v>0</v>
      </c>
      <c r="BK108" s="40">
        <f t="shared" si="179"/>
        <v>0</v>
      </c>
      <c r="BL108" s="40">
        <f t="shared" si="180"/>
        <v>0</v>
      </c>
      <c r="BO108" s="48">
        <v>19.5</v>
      </c>
      <c r="BP108" s="40">
        <f t="shared" si="181"/>
        <v>-23.343204263481169</v>
      </c>
      <c r="BQ108" s="181">
        <f t="shared" si="136"/>
        <v>-112.5</v>
      </c>
      <c r="BR108" s="40">
        <f t="shared" si="182"/>
        <v>-97.182456486007936</v>
      </c>
      <c r="BS108" s="40">
        <f t="shared" si="183"/>
        <v>-82.817543513992049</v>
      </c>
      <c r="BT108" s="40">
        <f t="shared" si="184"/>
        <v>262.81754351399206</v>
      </c>
      <c r="BU108" s="40">
        <f t="shared" si="226"/>
        <v>-97.182456486007936</v>
      </c>
      <c r="BV108" s="40">
        <f t="shared" si="186"/>
        <v>2.523736048945731</v>
      </c>
      <c r="BW108" s="40">
        <f t="shared" si="187"/>
        <v>0</v>
      </c>
      <c r="BX108" s="41">
        <f>COS(RADIANS(BP108))*COS(RADIANS(BR108-Insolation!$L$6))*SIN(RADIANS(0))+(SIN(RADIANS(BP108))*COS(RADIANS(0)))</f>
        <v>-0.39623795064374556</v>
      </c>
      <c r="BY108" s="41">
        <f>COS(RADIANS(BP108))*COS(RADIANS(BR108-Insolation!$L$6))*SIN(RADIANS(Insolation!$L$7))+SIN(RADIANS(BP108))*COS(RADIANS(Insolation!$L$7))</f>
        <v>-0.33388705550751319</v>
      </c>
      <c r="BZ108" s="40">
        <f t="shared" si="188"/>
        <v>0</v>
      </c>
      <c r="CA108" s="40">
        <f t="shared" si="189"/>
        <v>0</v>
      </c>
      <c r="CB108" s="40">
        <f t="shared" si="190"/>
        <v>0</v>
      </c>
      <c r="CC108" s="40">
        <f>$BN$91*BW108*((1+COS(RADIANS(Insolation!$L$7)))/2)</f>
        <v>0</v>
      </c>
      <c r="CD108" s="40">
        <f t="shared" si="191"/>
        <v>0</v>
      </c>
      <c r="CE108" s="40">
        <f t="shared" si="192"/>
        <v>0</v>
      </c>
      <c r="CF108" s="40">
        <f t="shared" si="193"/>
        <v>0</v>
      </c>
      <c r="CG108" s="40">
        <f t="shared" si="194"/>
        <v>0</v>
      </c>
      <c r="CJ108" s="48">
        <v>19.5</v>
      </c>
      <c r="CK108" s="40">
        <f t="shared" si="195"/>
        <v>-29.194276432363594</v>
      </c>
      <c r="CL108" s="181">
        <f t="shared" si="137"/>
        <v>-112.5</v>
      </c>
      <c r="CM108" s="40">
        <f t="shared" si="196"/>
        <v>-88.759944888792404</v>
      </c>
      <c r="CN108" s="40">
        <f t="shared" si="197"/>
        <v>-88.759944888792404</v>
      </c>
      <c r="CO108" s="40">
        <f t="shared" si="198"/>
        <v>268.7599448887924</v>
      </c>
      <c r="CP108" s="40">
        <f t="shared" si="227"/>
        <v>-91.240055111207596</v>
      </c>
      <c r="CQ108" s="40">
        <f t="shared" si="200"/>
        <v>2.0501362624380453</v>
      </c>
      <c r="CR108" s="40">
        <f t="shared" si="201"/>
        <v>0</v>
      </c>
      <c r="CS108" s="41">
        <f>COS(RADIANS(CK108))*COS(RADIANS(CM108-Insolation!$L$6))*SIN(RADIANS(0))+(SIN(RADIANS(CK108))*COS(RADIANS(0)))</f>
        <v>-0.48777245606630487</v>
      </c>
      <c r="CT108" s="41">
        <f>COS(RADIANS(CK108))*COS(RADIANS(CM108-Insolation!$L$6))*SIN(RADIANS(Insolation!$L$7))+SIN(RADIANS(CK108))*COS(RADIANS(Insolation!$L$7))</f>
        <v>-0.33675346300937298</v>
      </c>
      <c r="CU108" s="40">
        <f t="shared" si="202"/>
        <v>0</v>
      </c>
      <c r="CV108" s="40">
        <f t="shared" si="203"/>
        <v>0</v>
      </c>
      <c r="CW108" s="40">
        <f t="shared" si="204"/>
        <v>0</v>
      </c>
      <c r="CX108" s="40">
        <f>$CI$91*CR108*((1+COS(RADIANS(Insolation!$L$7)))/2)</f>
        <v>0</v>
      </c>
      <c r="CY108" s="40">
        <f t="shared" si="205"/>
        <v>0</v>
      </c>
      <c r="CZ108" s="40">
        <f t="shared" si="206"/>
        <v>0</v>
      </c>
      <c r="DA108" s="40">
        <f t="shared" si="207"/>
        <v>0</v>
      </c>
      <c r="DB108" s="40">
        <f t="shared" si="208"/>
        <v>0</v>
      </c>
      <c r="DE108" s="48">
        <v>19.5</v>
      </c>
      <c r="DF108" s="40">
        <f t="shared" si="209"/>
        <v>-31.586696963716111</v>
      </c>
      <c r="DG108" s="181">
        <f t="shared" si="138"/>
        <v>-112.5</v>
      </c>
      <c r="DH108" s="40">
        <f t="shared" si="210"/>
        <v>-84.775063781585089</v>
      </c>
      <c r="DI108" s="40">
        <f t="shared" si="211"/>
        <v>-84.775063781585089</v>
      </c>
      <c r="DJ108" s="40">
        <f t="shared" si="212"/>
        <v>264.77506378158512</v>
      </c>
      <c r="DK108" s="40">
        <f t="shared" si="228"/>
        <v>-95.224936218414882</v>
      </c>
      <c r="DL108" s="40">
        <f t="shared" si="214"/>
        <v>1.9091688615387257</v>
      </c>
      <c r="DM108" s="40">
        <f t="shared" si="215"/>
        <v>0</v>
      </c>
      <c r="DN108" s="41">
        <f>COS(RADIANS(DF108))*COS(RADIANS(DH108-Insolation!$L$6))*SIN(RADIANS(0))+(SIN(RADIANS(DF108))*COS(RADIANS(0)))</f>
        <v>-0.5237881363694743</v>
      </c>
      <c r="DO108" s="41">
        <f>COS(RADIANS(DF108))*COS(RADIANS(DH108-Insolation!$L$6))*SIN(RADIANS(Insolation!$L$7))+SIN(RADIANS(DF108))*COS(RADIANS(Insolation!$L$7))</f>
        <v>-0.33506259643884473</v>
      </c>
      <c r="DP108" s="40">
        <f t="shared" si="216"/>
        <v>0</v>
      </c>
      <c r="DQ108" s="40">
        <f t="shared" si="217"/>
        <v>0</v>
      </c>
      <c r="DR108" s="40">
        <f t="shared" si="218"/>
        <v>0</v>
      </c>
      <c r="DS108" s="40">
        <f>$DD$91*DM108*((1+COS(RADIANS(Insolation!$L$7)))/2)</f>
        <v>0</v>
      </c>
      <c r="DT108" s="40">
        <f t="shared" si="219"/>
        <v>0</v>
      </c>
      <c r="DU108" s="40">
        <f t="shared" si="220"/>
        <v>0</v>
      </c>
      <c r="DV108" s="40">
        <f t="shared" si="221"/>
        <v>0</v>
      </c>
      <c r="DW108" s="40">
        <f t="shared" si="222"/>
        <v>0</v>
      </c>
    </row>
    <row r="109" spans="2:127" x14ac:dyDescent="0.15">
      <c r="D109" s="48">
        <v>20</v>
      </c>
      <c r="E109" s="40">
        <f t="shared" si="139"/>
        <v>-6.924695329146572</v>
      </c>
      <c r="F109" s="181">
        <f t="shared" si="133"/>
        <v>-120</v>
      </c>
      <c r="G109" s="40">
        <f t="shared" si="140"/>
        <v>-125.74849375681907</v>
      </c>
      <c r="H109" s="40">
        <f t="shared" si="141"/>
        <v>-54.251506243180934</v>
      </c>
      <c r="I109" s="40">
        <f t="shared" si="142"/>
        <v>234.25150624318093</v>
      </c>
      <c r="J109" s="40">
        <f t="shared" si="223"/>
        <v>-125.74849375681907</v>
      </c>
      <c r="K109" s="40">
        <f t="shared" si="144"/>
        <v>8.2943003026874358</v>
      </c>
      <c r="L109" s="40">
        <f t="shared" si="145"/>
        <v>0</v>
      </c>
      <c r="M109" s="41">
        <f>COS(RADIANS(E109))*COS(RADIANS(G109-Insolation!$L$6))*SIN(RADIANS(0))+(SIN(RADIANS(E109))*COS(RADIANS(0)))</f>
        <v>-0.12056472077288906</v>
      </c>
      <c r="N109" s="41">
        <f>COS(RADIANS(E109))*COS(RADIANS(G109-Insolation!$L$6))*SIN(RADIANS(Insolation!$L$7))+SIN(RADIANS(E109))*COS(RADIANS(Insolation!$L$7))</f>
        <v>-0.3742743965475549</v>
      </c>
      <c r="O109" s="40">
        <f t="shared" si="146"/>
        <v>0</v>
      </c>
      <c r="P109" s="40">
        <f t="shared" si="147"/>
        <v>0</v>
      </c>
      <c r="Q109" s="40">
        <f t="shared" si="148"/>
        <v>0</v>
      </c>
      <c r="R109" s="40">
        <f>$C$91*L109*((1+COS(RADIANS(Insolation!$L$7)))/2)</f>
        <v>0</v>
      </c>
      <c r="S109" s="40">
        <f t="shared" si="149"/>
        <v>0</v>
      </c>
      <c r="T109" s="40">
        <f t="shared" si="150"/>
        <v>0</v>
      </c>
      <c r="U109" s="40">
        <f t="shared" si="151"/>
        <v>0</v>
      </c>
      <c r="V109" s="40">
        <f t="shared" si="152"/>
        <v>0</v>
      </c>
      <c r="Y109" s="48">
        <v>20</v>
      </c>
      <c r="Z109" s="40">
        <f t="shared" si="153"/>
        <v>-12.641198944639424</v>
      </c>
      <c r="AA109" s="181">
        <f t="shared" si="134"/>
        <v>-120</v>
      </c>
      <c r="AB109" s="40">
        <f t="shared" si="154"/>
        <v>-120.46026919065474</v>
      </c>
      <c r="AC109" s="40">
        <f t="shared" si="155"/>
        <v>-59.539730809345265</v>
      </c>
      <c r="AD109" s="40">
        <f t="shared" si="156"/>
        <v>239.53973080934526</v>
      </c>
      <c r="AE109" s="40">
        <f t="shared" si="224"/>
        <v>-120.46026919065474</v>
      </c>
      <c r="AF109" s="40">
        <f t="shared" si="158"/>
        <v>4.5694456942130328</v>
      </c>
      <c r="AG109" s="40">
        <f t="shared" si="159"/>
        <v>0</v>
      </c>
      <c r="AH109" s="41">
        <f>COS(RADIANS(Z109))*COS(RADIANS(AB109-Insolation!$L$6))*SIN(RADIANS(0))+(SIN(RADIANS(Z109))*COS(RADIANS(0)))</f>
        <v>-0.21884492494712179</v>
      </c>
      <c r="AI109" s="41">
        <f>COS(RADIANS(Z109))*COS(RADIANS(AB109-Insolation!$L$6))*SIN(RADIANS(Insolation!$L$7))+SIN(RADIANS(Z109))*COS(RADIANS(Insolation!$L$7))</f>
        <v>-0.40522320068737883</v>
      </c>
      <c r="AJ109" s="40">
        <f t="shared" si="160"/>
        <v>0</v>
      </c>
      <c r="AK109" s="40">
        <f t="shared" si="161"/>
        <v>0</v>
      </c>
      <c r="AL109" s="40">
        <f t="shared" si="162"/>
        <v>0</v>
      </c>
      <c r="AM109" s="40">
        <f>$X$91*AG109*((1+COS(RADIANS(Insolation!$L$7)))/2)</f>
        <v>0</v>
      </c>
      <c r="AN109" s="40">
        <f t="shared" si="163"/>
        <v>0</v>
      </c>
      <c r="AO109" s="40">
        <f t="shared" si="164"/>
        <v>0</v>
      </c>
      <c r="AP109" s="40">
        <f t="shared" si="165"/>
        <v>0</v>
      </c>
      <c r="AQ109" s="40">
        <f t="shared" si="166"/>
        <v>0</v>
      </c>
      <c r="AT109" s="48">
        <v>20</v>
      </c>
      <c r="AU109" s="40">
        <f t="shared" si="167"/>
        <v>-20.969506486553996</v>
      </c>
      <c r="AV109" s="181">
        <f t="shared" si="135"/>
        <v>-120</v>
      </c>
      <c r="AW109" s="40">
        <f t="shared" si="168"/>
        <v>-112.06545600083507</v>
      </c>
      <c r="AX109" s="40">
        <f t="shared" si="169"/>
        <v>-67.934543999164916</v>
      </c>
      <c r="AY109" s="40">
        <f t="shared" si="170"/>
        <v>247.93454399916493</v>
      </c>
      <c r="AZ109" s="40">
        <f t="shared" si="225"/>
        <v>-112.06545600083507</v>
      </c>
      <c r="BA109" s="40">
        <f t="shared" si="172"/>
        <v>2.7943026946826097</v>
      </c>
      <c r="BB109" s="40">
        <f t="shared" si="173"/>
        <v>0</v>
      </c>
      <c r="BC109" s="41">
        <f>COS(RADIANS(AU109))*COS(RADIANS(AW109-Insolation!$L$6))*SIN(RADIANS(0))+(SIN(RADIANS(AU109))*COS(RADIANS(0)))</f>
        <v>-0.35787103591280212</v>
      </c>
      <c r="BD109" s="41">
        <f>COS(RADIANS(AU109))*COS(RADIANS(AW109-Insolation!$L$6))*SIN(RADIANS(Insolation!$L$7))+SIN(RADIANS(AU109))*COS(RADIANS(Insolation!$L$7))</f>
        <v>-0.43761537153715585</v>
      </c>
      <c r="BE109" s="40">
        <f t="shared" si="174"/>
        <v>0</v>
      </c>
      <c r="BF109" s="40">
        <f t="shared" si="175"/>
        <v>0</v>
      </c>
      <c r="BG109" s="40">
        <f t="shared" si="176"/>
        <v>0</v>
      </c>
      <c r="BH109" s="40">
        <f>$AS$91*BB109*((1+COS(RADIANS(Insolation!$L$7)))/2)</f>
        <v>0</v>
      </c>
      <c r="BI109" s="40">
        <f t="shared" si="177"/>
        <v>0</v>
      </c>
      <c r="BJ109" s="40">
        <f t="shared" si="178"/>
        <v>0</v>
      </c>
      <c r="BK109" s="40">
        <f t="shared" si="179"/>
        <v>0</v>
      </c>
      <c r="BL109" s="40">
        <f t="shared" si="180"/>
        <v>0</v>
      </c>
      <c r="BO109" s="48">
        <v>20</v>
      </c>
      <c r="BP109" s="40">
        <f t="shared" si="181"/>
        <v>-29.002598184637723</v>
      </c>
      <c r="BQ109" s="181">
        <f t="shared" si="136"/>
        <v>-120</v>
      </c>
      <c r="BR109" s="40">
        <f t="shared" si="182"/>
        <v>-102.49004654127958</v>
      </c>
      <c r="BS109" s="40">
        <f t="shared" si="183"/>
        <v>-77.509953458720432</v>
      </c>
      <c r="BT109" s="40">
        <f t="shared" si="184"/>
        <v>257.50995345872042</v>
      </c>
      <c r="BU109" s="40">
        <f t="shared" si="226"/>
        <v>-102.49004654127958</v>
      </c>
      <c r="BV109" s="40">
        <f t="shared" si="186"/>
        <v>2.0624966131678377</v>
      </c>
      <c r="BW109" s="40">
        <f t="shared" si="187"/>
        <v>0</v>
      </c>
      <c r="BX109" s="41">
        <f>COS(RADIANS(BP109))*COS(RADIANS(BR109-Insolation!$L$6))*SIN(RADIANS(0))+(SIN(RADIANS(BP109))*COS(RADIANS(0)))</f>
        <v>-0.48484928101970365</v>
      </c>
      <c r="BY109" s="41">
        <f>COS(RADIANS(BP109))*COS(RADIANS(BR109-Insolation!$L$6))*SIN(RADIANS(Insolation!$L$7))+SIN(RADIANS(BP109))*COS(RADIANS(Insolation!$L$7))</f>
        <v>-0.4523471562405133</v>
      </c>
      <c r="BZ109" s="40">
        <f t="shared" si="188"/>
        <v>0</v>
      </c>
      <c r="CA109" s="40">
        <f t="shared" si="189"/>
        <v>0</v>
      </c>
      <c r="CB109" s="40">
        <f t="shared" si="190"/>
        <v>0</v>
      </c>
      <c r="CC109" s="40">
        <f>$BN$91*BW109*((1+COS(RADIANS(Insolation!$L$7)))/2)</f>
        <v>0</v>
      </c>
      <c r="CD109" s="40">
        <f t="shared" si="191"/>
        <v>0</v>
      </c>
      <c r="CE109" s="40">
        <f t="shared" si="192"/>
        <v>0</v>
      </c>
      <c r="CF109" s="40">
        <f t="shared" si="193"/>
        <v>0</v>
      </c>
      <c r="CG109" s="40">
        <f t="shared" si="194"/>
        <v>0</v>
      </c>
      <c r="CJ109" s="48">
        <v>20</v>
      </c>
      <c r="CK109" s="40">
        <f t="shared" si="195"/>
        <v>-34.936635094853635</v>
      </c>
      <c r="CL109" s="181">
        <f t="shared" si="137"/>
        <v>-120</v>
      </c>
      <c r="CM109" s="40">
        <f t="shared" si="196"/>
        <v>-93.660968422018755</v>
      </c>
      <c r="CN109" s="40">
        <f t="shared" si="197"/>
        <v>-86.339031577981231</v>
      </c>
      <c r="CO109" s="40">
        <f t="shared" si="198"/>
        <v>266.33903157798125</v>
      </c>
      <c r="CP109" s="40">
        <f t="shared" si="227"/>
        <v>-93.660968422018755</v>
      </c>
      <c r="CQ109" s="40">
        <f t="shared" si="200"/>
        <v>1.7462058664570741</v>
      </c>
      <c r="CR109" s="40">
        <f t="shared" si="201"/>
        <v>0</v>
      </c>
      <c r="CS109" s="41">
        <f>COS(RADIANS(CK109))*COS(RADIANS(CM109-Insolation!$L$6))*SIN(RADIANS(0))+(SIN(RADIANS(CK109))*COS(RADIANS(0)))</f>
        <v>-0.57267016404482018</v>
      </c>
      <c r="CT109" s="41">
        <f>COS(RADIANS(CK109))*COS(RADIANS(CM109-Insolation!$L$6))*SIN(RADIANS(Insolation!$L$7))+SIN(RADIANS(CK109))*COS(RADIANS(Insolation!$L$7))</f>
        <v>-0.45024900580809629</v>
      </c>
      <c r="CU109" s="40">
        <f t="shared" si="202"/>
        <v>0</v>
      </c>
      <c r="CV109" s="40">
        <f t="shared" si="203"/>
        <v>0</v>
      </c>
      <c r="CW109" s="40">
        <f t="shared" si="204"/>
        <v>0</v>
      </c>
      <c r="CX109" s="40">
        <f>$CI$91*CR109*((1+COS(RADIANS(Insolation!$L$7)))/2)</f>
        <v>0</v>
      </c>
      <c r="CY109" s="40">
        <f t="shared" si="205"/>
        <v>0</v>
      </c>
      <c r="CZ109" s="40">
        <f t="shared" si="206"/>
        <v>0</v>
      </c>
      <c r="DA109" s="40">
        <f t="shared" si="207"/>
        <v>0</v>
      </c>
      <c r="DB109" s="40">
        <f t="shared" si="208"/>
        <v>0</v>
      </c>
      <c r="DE109" s="48">
        <v>20</v>
      </c>
      <c r="DF109" s="40">
        <f t="shared" si="209"/>
        <v>-37.322935151378353</v>
      </c>
      <c r="DG109" s="181">
        <f t="shared" si="138"/>
        <v>-120</v>
      </c>
      <c r="DH109" s="40">
        <f t="shared" si="210"/>
        <v>-89.399596739151704</v>
      </c>
      <c r="DI109" s="40">
        <f t="shared" si="211"/>
        <v>-89.399596739151704</v>
      </c>
      <c r="DJ109" s="40">
        <f t="shared" si="212"/>
        <v>269.39959673915172</v>
      </c>
      <c r="DK109" s="40">
        <f t="shared" si="228"/>
        <v>-90.600403260848282</v>
      </c>
      <c r="DL109" s="40">
        <f t="shared" si="214"/>
        <v>1.6493300774602593</v>
      </c>
      <c r="DM109" s="40">
        <f t="shared" si="215"/>
        <v>0</v>
      </c>
      <c r="DN109" s="41">
        <f>COS(RADIANS(DF109))*COS(RADIANS(DH109-Insolation!$L$6))*SIN(RADIANS(0))+(SIN(RADIANS(DF109))*COS(RADIANS(0)))</f>
        <v>-0.6063067748936356</v>
      </c>
      <c r="DO109" s="41">
        <f>COS(RADIANS(DF109))*COS(RADIANS(DH109-Insolation!$L$6))*SIN(RADIANS(Insolation!$L$7))+SIN(RADIANS(DF109))*COS(RADIANS(Insolation!$L$7))</f>
        <v>-0.44537767906369674</v>
      </c>
      <c r="DP109" s="40">
        <f t="shared" si="216"/>
        <v>0</v>
      </c>
      <c r="DQ109" s="40">
        <f t="shared" si="217"/>
        <v>0</v>
      </c>
      <c r="DR109" s="40">
        <f t="shared" si="218"/>
        <v>0</v>
      </c>
      <c r="DS109" s="40">
        <f>$DD$91*DM109*((1+COS(RADIANS(Insolation!$L$7)))/2)</f>
        <v>0</v>
      </c>
      <c r="DT109" s="40">
        <f t="shared" si="219"/>
        <v>0</v>
      </c>
      <c r="DU109" s="40">
        <f t="shared" si="220"/>
        <v>0</v>
      </c>
      <c r="DV109" s="40">
        <f t="shared" si="221"/>
        <v>0</v>
      </c>
      <c r="DW109" s="40">
        <f t="shared" si="222"/>
        <v>0</v>
      </c>
    </row>
    <row r="110" spans="2:127" x14ac:dyDescent="0.15">
      <c r="D110" s="48">
        <v>20.5</v>
      </c>
      <c r="E110" s="40">
        <f t="shared" si="139"/>
        <v>-11.424367809352235</v>
      </c>
      <c r="F110" s="181">
        <f t="shared" si="133"/>
        <v>-127.5</v>
      </c>
      <c r="G110" s="40">
        <f t="shared" si="140"/>
        <v>-131.15076394111404</v>
      </c>
      <c r="H110" s="40">
        <f t="shared" si="141"/>
        <v>-48.849236058885957</v>
      </c>
      <c r="I110" s="40">
        <f t="shared" si="142"/>
        <v>228.84923605888596</v>
      </c>
      <c r="J110" s="40">
        <f t="shared" si="223"/>
        <v>-131.15076394111404</v>
      </c>
      <c r="K110" s="40">
        <f t="shared" si="144"/>
        <v>5.0486123217855869</v>
      </c>
      <c r="L110" s="40">
        <f t="shared" si="145"/>
        <v>0</v>
      </c>
      <c r="M110" s="41">
        <f>COS(RADIANS(E110))*COS(RADIANS(G110-Insolation!$L$6))*SIN(RADIANS(0))+(SIN(RADIANS(E110))*COS(RADIANS(0)))</f>
        <v>-0.19807423035530708</v>
      </c>
      <c r="N110" s="41">
        <f>COS(RADIANS(E110))*COS(RADIANS(G110-Insolation!$L$6))*SIN(RADIANS(Insolation!$L$7))+SIN(RADIANS(E110))*COS(RADIANS(Insolation!$L$7))</f>
        <v>-0.47901078631682981</v>
      </c>
      <c r="O110" s="40">
        <f t="shared" si="146"/>
        <v>0</v>
      </c>
      <c r="P110" s="40">
        <f t="shared" si="147"/>
        <v>0</v>
      </c>
      <c r="Q110" s="40">
        <f t="shared" si="148"/>
        <v>0</v>
      </c>
      <c r="R110" s="40">
        <f>$C$91*L110*((1+COS(RADIANS(Insolation!$L$7)))/2)</f>
        <v>0</v>
      </c>
      <c r="S110" s="40">
        <f t="shared" si="149"/>
        <v>0</v>
      </c>
      <c r="T110" s="40">
        <f t="shared" si="150"/>
        <v>0</v>
      </c>
      <c r="U110" s="40">
        <f t="shared" si="151"/>
        <v>0</v>
      </c>
      <c r="V110" s="40">
        <f t="shared" si="152"/>
        <v>0</v>
      </c>
      <c r="Y110" s="48">
        <v>20.5</v>
      </c>
      <c r="Z110" s="40">
        <f t="shared" si="153"/>
        <v>-17.443292762364074</v>
      </c>
      <c r="AA110" s="181">
        <f t="shared" si="134"/>
        <v>-127.5</v>
      </c>
      <c r="AB110" s="40">
        <f t="shared" si="154"/>
        <v>-126.13330437082419</v>
      </c>
      <c r="AC110" s="40">
        <f t="shared" si="155"/>
        <v>-53.866695629175801</v>
      </c>
      <c r="AD110" s="40">
        <f t="shared" si="156"/>
        <v>233.86669562917581</v>
      </c>
      <c r="AE110" s="40">
        <f t="shared" si="224"/>
        <v>-126.13330437082419</v>
      </c>
      <c r="AF110" s="40">
        <f t="shared" si="158"/>
        <v>3.3359828598569918</v>
      </c>
      <c r="AG110" s="40">
        <f t="shared" si="159"/>
        <v>0</v>
      </c>
      <c r="AH110" s="41">
        <f>COS(RADIANS(Z110))*COS(RADIANS(AB110-Insolation!$L$6))*SIN(RADIANS(0))+(SIN(RADIANS(Z110))*COS(RADIANS(0)))</f>
        <v>-0.29976173200208478</v>
      </c>
      <c r="AI110" s="41">
        <f>COS(RADIANS(Z110))*COS(RADIANS(AB110-Insolation!$L$6))*SIN(RADIANS(Insolation!$L$7))+SIN(RADIANS(Z110))*COS(RADIANS(Insolation!$L$7))</f>
        <v>-0.51456377435701584</v>
      </c>
      <c r="AJ110" s="40">
        <f t="shared" si="160"/>
        <v>0</v>
      </c>
      <c r="AK110" s="40">
        <f t="shared" si="161"/>
        <v>0</v>
      </c>
      <c r="AL110" s="40">
        <f t="shared" si="162"/>
        <v>0</v>
      </c>
      <c r="AM110" s="40">
        <f>$X$91*AG110*((1+COS(RADIANS(Insolation!$L$7)))/2)</f>
        <v>0</v>
      </c>
      <c r="AN110" s="40">
        <f t="shared" si="163"/>
        <v>0</v>
      </c>
      <c r="AO110" s="40">
        <f t="shared" si="164"/>
        <v>0</v>
      </c>
      <c r="AP110" s="40">
        <f t="shared" si="165"/>
        <v>0</v>
      </c>
      <c r="AQ110" s="40">
        <f t="shared" si="166"/>
        <v>0</v>
      </c>
      <c r="AT110" s="48">
        <v>20.5</v>
      </c>
      <c r="AU110" s="40">
        <f t="shared" si="167"/>
        <v>-26.175667739861588</v>
      </c>
      <c r="AV110" s="181">
        <f t="shared" si="135"/>
        <v>-127.5</v>
      </c>
      <c r="AW110" s="40">
        <f t="shared" si="168"/>
        <v>-117.95073673966181</v>
      </c>
      <c r="AX110" s="40">
        <f t="shared" si="169"/>
        <v>-62.049263260338179</v>
      </c>
      <c r="AY110" s="40">
        <f t="shared" si="170"/>
        <v>242.04926326033819</v>
      </c>
      <c r="AZ110" s="40">
        <f t="shared" si="225"/>
        <v>-117.95073673966181</v>
      </c>
      <c r="BA110" s="40">
        <f t="shared" si="172"/>
        <v>2.2669323390823855</v>
      </c>
      <c r="BB110" s="40">
        <f t="shared" si="173"/>
        <v>0</v>
      </c>
      <c r="BC110" s="41">
        <f>COS(RADIANS(AU110))*COS(RADIANS(AW110-Insolation!$L$6))*SIN(RADIANS(0))+(SIN(RADIANS(AU110))*COS(RADIANS(0)))</f>
        <v>-0.44112476705184001</v>
      </c>
      <c r="BD110" s="41">
        <f>COS(RADIANS(AU110))*COS(RADIANS(AW110-Insolation!$L$6))*SIN(RADIANS(Insolation!$L$7))+SIN(RADIANS(AU110))*COS(RADIANS(Insolation!$L$7))</f>
        <v>-0.55011376407378776</v>
      </c>
      <c r="BE110" s="40">
        <f t="shared" si="174"/>
        <v>0</v>
      </c>
      <c r="BF110" s="40">
        <f t="shared" si="175"/>
        <v>0</v>
      </c>
      <c r="BG110" s="40">
        <f t="shared" si="176"/>
        <v>0</v>
      </c>
      <c r="BH110" s="40">
        <f>$AS$91*BB110*((1+COS(RADIANS(Insolation!$L$7)))/2)</f>
        <v>0</v>
      </c>
      <c r="BI110" s="40">
        <f t="shared" si="177"/>
        <v>0</v>
      </c>
      <c r="BJ110" s="40">
        <f t="shared" si="178"/>
        <v>0</v>
      </c>
      <c r="BK110" s="40">
        <f t="shared" si="179"/>
        <v>0</v>
      </c>
      <c r="BL110" s="40">
        <f t="shared" si="180"/>
        <v>0</v>
      </c>
      <c r="BO110" s="48">
        <v>20.5</v>
      </c>
      <c r="BP110" s="40">
        <f t="shared" si="181"/>
        <v>-34.541204213809117</v>
      </c>
      <c r="BQ110" s="181">
        <f t="shared" si="136"/>
        <v>-127.5</v>
      </c>
      <c r="BR110" s="40">
        <f t="shared" si="182"/>
        <v>-108.25893478326196</v>
      </c>
      <c r="BS110" s="40">
        <f t="shared" si="183"/>
        <v>-71.74106521673805</v>
      </c>
      <c r="BT110" s="40">
        <f t="shared" si="184"/>
        <v>251.74106521673804</v>
      </c>
      <c r="BU110" s="40">
        <f t="shared" si="226"/>
        <v>-108.25893478326196</v>
      </c>
      <c r="BV110" s="40">
        <f t="shared" si="186"/>
        <v>1.7636722871021822</v>
      </c>
      <c r="BW110" s="40">
        <f t="shared" si="187"/>
        <v>0</v>
      </c>
      <c r="BX110" s="41">
        <f>COS(RADIANS(BP110))*COS(RADIANS(BR110-Insolation!$L$6))*SIN(RADIANS(0))+(SIN(RADIANS(BP110))*COS(RADIANS(0)))</f>
        <v>-0.566998760094518</v>
      </c>
      <c r="BY110" s="41">
        <f>COS(RADIANS(BP110))*COS(RADIANS(BR110-Insolation!$L$6))*SIN(RADIANS(Insolation!$L$7))+SIN(RADIANS(BP110))*COS(RADIANS(Insolation!$L$7))</f>
        <v>-0.56335340445543369</v>
      </c>
      <c r="BZ110" s="40">
        <f t="shared" si="188"/>
        <v>0</v>
      </c>
      <c r="CA110" s="40">
        <f t="shared" si="189"/>
        <v>0</v>
      </c>
      <c r="CB110" s="40">
        <f t="shared" si="190"/>
        <v>0</v>
      </c>
      <c r="CC110" s="40">
        <f>$BN$91*BW110*((1+COS(RADIANS(Insolation!$L$7)))/2)</f>
        <v>0</v>
      </c>
      <c r="CD110" s="40">
        <f t="shared" si="191"/>
        <v>0</v>
      </c>
      <c r="CE110" s="40">
        <f t="shared" si="192"/>
        <v>0</v>
      </c>
      <c r="CF110" s="40">
        <f t="shared" si="193"/>
        <v>0</v>
      </c>
      <c r="CG110" s="40">
        <f t="shared" si="194"/>
        <v>0</v>
      </c>
      <c r="CJ110" s="48">
        <v>20.5</v>
      </c>
      <c r="CK110" s="40">
        <f t="shared" si="195"/>
        <v>-40.645489655033899</v>
      </c>
      <c r="CL110" s="181">
        <f t="shared" si="137"/>
        <v>-127.5</v>
      </c>
      <c r="CM110" s="40">
        <f t="shared" si="196"/>
        <v>-98.976511169779997</v>
      </c>
      <c r="CN110" s="40">
        <f t="shared" si="197"/>
        <v>-81.023488830220003</v>
      </c>
      <c r="CO110" s="40">
        <f t="shared" si="198"/>
        <v>261.02348883022</v>
      </c>
      <c r="CP110" s="40">
        <f t="shared" si="227"/>
        <v>-98.976511169779997</v>
      </c>
      <c r="CQ110" s="40">
        <f t="shared" si="200"/>
        <v>1.5352096545635954</v>
      </c>
      <c r="CR110" s="40">
        <f t="shared" si="201"/>
        <v>0</v>
      </c>
      <c r="CS110" s="41">
        <f>COS(RADIANS(CK110))*COS(RADIANS(CM110-Insolation!$L$6))*SIN(RADIANS(0))+(SIN(RADIANS(CK110))*COS(RADIANS(0)))</f>
        <v>-0.65137683118874334</v>
      </c>
      <c r="CT110" s="41">
        <f>COS(RADIANS(CK110))*COS(RADIANS(CM110-Insolation!$L$6))*SIN(RADIANS(Insolation!$L$7))+SIN(RADIANS(CK110))*COS(RADIANS(Insolation!$L$7))</f>
        <v>-0.55660308044794471</v>
      </c>
      <c r="CU110" s="40">
        <f t="shared" si="202"/>
        <v>0</v>
      </c>
      <c r="CV110" s="40">
        <f t="shared" si="203"/>
        <v>0</v>
      </c>
      <c r="CW110" s="40">
        <f t="shared" si="204"/>
        <v>0</v>
      </c>
      <c r="CX110" s="40">
        <f>$CI$91*CR110*((1+COS(RADIANS(Insolation!$L$7)))/2)</f>
        <v>0</v>
      </c>
      <c r="CY110" s="40">
        <f t="shared" si="205"/>
        <v>0</v>
      </c>
      <c r="CZ110" s="40">
        <f t="shared" si="206"/>
        <v>0</v>
      </c>
      <c r="DA110" s="40">
        <f t="shared" si="207"/>
        <v>0</v>
      </c>
      <c r="DB110" s="40">
        <f t="shared" si="208"/>
        <v>0</v>
      </c>
      <c r="DE110" s="48">
        <v>20.5</v>
      </c>
      <c r="DF110" s="40">
        <f t="shared" si="209"/>
        <v>-43.063450908950273</v>
      </c>
      <c r="DG110" s="181">
        <f t="shared" si="138"/>
        <v>-127.5</v>
      </c>
      <c r="DH110" s="40">
        <f t="shared" si="210"/>
        <v>-94.384912910708636</v>
      </c>
      <c r="DI110" s="40">
        <f t="shared" si="211"/>
        <v>-85.615087089291336</v>
      </c>
      <c r="DJ110" s="40">
        <f t="shared" si="212"/>
        <v>265.61508708929136</v>
      </c>
      <c r="DK110" s="40">
        <f t="shared" si="228"/>
        <v>-94.384912910708636</v>
      </c>
      <c r="DL110" s="40">
        <f t="shared" si="214"/>
        <v>1.4645408387599339</v>
      </c>
      <c r="DM110" s="40">
        <f t="shared" si="215"/>
        <v>0</v>
      </c>
      <c r="DN110" s="41">
        <f>COS(RADIANS(DF110))*COS(RADIANS(DH110-Insolation!$L$6))*SIN(RADIANS(0))+(SIN(RADIANS(DF110))*COS(RADIANS(0)))</f>
        <v>-0.68280786273377458</v>
      </c>
      <c r="DO110" s="41">
        <f>COS(RADIANS(DF110))*COS(RADIANS(DH110-Insolation!$L$6))*SIN(RADIANS(Insolation!$L$7))+SIN(RADIANS(DF110))*COS(RADIANS(Insolation!$L$7))</f>
        <v>-0.54875141729227939</v>
      </c>
      <c r="DP110" s="40">
        <f t="shared" si="216"/>
        <v>0</v>
      </c>
      <c r="DQ110" s="40">
        <f t="shared" si="217"/>
        <v>0</v>
      </c>
      <c r="DR110" s="40">
        <f t="shared" si="218"/>
        <v>0</v>
      </c>
      <c r="DS110" s="40">
        <f>$DD$91*DM110*((1+COS(RADIANS(Insolation!$L$7)))/2)</f>
        <v>0</v>
      </c>
      <c r="DT110" s="40">
        <f t="shared" si="219"/>
        <v>0</v>
      </c>
      <c r="DU110" s="40">
        <f t="shared" si="220"/>
        <v>0</v>
      </c>
      <c r="DV110" s="40">
        <f t="shared" si="221"/>
        <v>0</v>
      </c>
      <c r="DW110" s="40">
        <f t="shared" si="222"/>
        <v>0</v>
      </c>
    </row>
    <row r="111" spans="2:127" x14ac:dyDescent="0.15">
      <c r="O111" s="209">
        <f>SUM(O81,O83,O85,O87,O89,O91,O93,O95,O97,O99,O101,O103,O105,O107,O109)/1000</f>
        <v>6.7641677620024137</v>
      </c>
      <c r="P111" s="209">
        <f t="shared" ref="P111:V111" si="229">SUM(P81,P83,P85,P87,P89,P91,P93,P95,P97,P99,P101,P103,P105,P107,P109)/1000</f>
        <v>1.3094553666957278</v>
      </c>
      <c r="Q111" s="209">
        <f t="shared" si="229"/>
        <v>6.1711476803682137</v>
      </c>
      <c r="R111" s="209">
        <f t="shared" si="229"/>
        <v>1.194922682651725</v>
      </c>
      <c r="S111" s="209">
        <f t="shared" si="229"/>
        <v>9.0326086394811913</v>
      </c>
      <c r="T111" s="209">
        <f t="shared" si="229"/>
        <v>0.92450229491906055</v>
      </c>
      <c r="U111" s="209">
        <f t="shared" si="229"/>
        <v>9.7092811346846126</v>
      </c>
      <c r="V111" s="209">
        <f t="shared" si="229"/>
        <v>1.1108570123021444</v>
      </c>
      <c r="AJ111" s="209">
        <f>SUM(AJ81,AJ83,AJ85,AJ87,AJ89,AJ91,AJ93,AJ95,AJ97,AJ99,AJ101,AJ103,AJ105,AJ107,AJ109)/1000</f>
        <v>6.1027147339746426</v>
      </c>
      <c r="AK111" s="209">
        <f t="shared" ref="AK111:AQ111" si="230">SUM(AK81,AK83,AK85,AK87,AK89,AK91,AK93,AK95,AK97,AK99,AK101,AK103,AK105,AK107,AK109)/1000</f>
        <v>1.1882431134479317</v>
      </c>
      <c r="AL111" s="209">
        <f t="shared" si="230"/>
        <v>6.2960000077551994</v>
      </c>
      <c r="AM111" s="209">
        <f t="shared" si="230"/>
        <v>1.0843123674741992</v>
      </c>
      <c r="AN111" s="209">
        <f t="shared" si="230"/>
        <v>9.0397236415815119</v>
      </c>
      <c r="AO111" s="209">
        <f t="shared" si="230"/>
        <v>0.87360064517882774</v>
      </c>
      <c r="AP111" s="209">
        <f t="shared" si="230"/>
        <v>9.3077623883381388</v>
      </c>
      <c r="AQ111" s="209">
        <f t="shared" si="230"/>
        <v>0.98366248253596023</v>
      </c>
      <c r="BE111" s="209">
        <f>SUM(BE81,BE83,BE85,BE87,BE89,BE91,BE93,BE95,BE97,BE99,BE101,BE103,BE105,BE107,BE109)/1000</f>
        <v>4.9867330714663503</v>
      </c>
      <c r="BF111" s="209">
        <f t="shared" ref="BF111:BL111" si="231">SUM(BF81,BF83,BF85,BF87,BF89,BF91,BF93,BF95,BF97,BF99,BF101,BF103,BF105,BF107,BF109)/1000</f>
        <v>0.941581289865561</v>
      </c>
      <c r="BG111" s="209">
        <f t="shared" si="231"/>
        <v>6.2242328016476716</v>
      </c>
      <c r="BH111" s="209">
        <f t="shared" si="231"/>
        <v>0.8592250407586941</v>
      </c>
      <c r="BI111" s="209">
        <f t="shared" si="231"/>
        <v>8.447883332034948</v>
      </c>
      <c r="BJ111" s="209">
        <f t="shared" si="231"/>
        <v>0.73413922155785527</v>
      </c>
      <c r="BK111" s="209">
        <f t="shared" si="231"/>
        <v>8.4542108102629268</v>
      </c>
      <c r="BL111" s="209">
        <f t="shared" si="231"/>
        <v>0.74848744378398557</v>
      </c>
      <c r="BZ111" s="209">
        <f>SUM(BZ81,BZ83,BZ85,BZ87,BZ89,BZ91,BZ93,BZ95,BZ97,BZ99,BZ101,BZ103,BZ105,BZ107,BZ109)/1000</f>
        <v>3.6836573943287476</v>
      </c>
      <c r="CA111" s="209">
        <f t="shared" ref="CA111:CG111" si="232">SUM(CA81,CA83,CA85,CA87,CA89,CA91,CA93,CA95,CA97,CA99,CA101,CA103,CA105,CA107,CA109)/1000</f>
        <v>0.69195328199433404</v>
      </c>
      <c r="CB111" s="209">
        <f t="shared" si="232"/>
        <v>5.7020344715677922</v>
      </c>
      <c r="CC111" s="209">
        <f t="shared" si="232"/>
        <v>0.63143096971434376</v>
      </c>
      <c r="CD111" s="209">
        <f t="shared" si="232"/>
        <v>7.4794497103633866</v>
      </c>
      <c r="CE111" s="209">
        <f t="shared" si="232"/>
        <v>0.56108476929301176</v>
      </c>
      <c r="CF111" s="209">
        <f t="shared" si="232"/>
        <v>7.5856657845600797</v>
      </c>
      <c r="CG111" s="209">
        <f t="shared" si="232"/>
        <v>0.51398554727778389</v>
      </c>
      <c r="CU111" s="209">
        <f>SUM(CU81,CU83,CU85,CU87,CU89,CU91,CU93,CU95,CU97,CU99,CU101,CU103,CU105,CU107,CU109)/1000</f>
        <v>2.5915211349166216</v>
      </c>
      <c r="CV111" s="209">
        <f t="shared" ref="CV111:DB111" si="233">SUM(CV81,CV83,CV85,CV87,CV89,CV91,CV93,CV95,CV97,CV99,CV101,CV103,CV105,CV107,CV109)/1000</f>
        <v>0.47722636382923139</v>
      </c>
      <c r="CW111" s="209">
        <f t="shared" si="233"/>
        <v>4.9641398639750802</v>
      </c>
      <c r="CX111" s="209">
        <f t="shared" si="233"/>
        <v>0.43548533337025092</v>
      </c>
      <c r="CY111" s="209">
        <f t="shared" si="233"/>
        <v>6.3062378630522113</v>
      </c>
      <c r="CZ111" s="209">
        <f t="shared" si="233"/>
        <v>0.39756909405667651</v>
      </c>
      <c r="DA111" s="209">
        <f t="shared" si="233"/>
        <v>6.6755598962208227</v>
      </c>
      <c r="DB111" s="209">
        <f t="shared" si="233"/>
        <v>0.33124527774099033</v>
      </c>
      <c r="DP111" s="209">
        <f>SUM(DP81,DP83,DP85,DP87,DP89,DP91,DP93,DP95,DP97,DP99,DP101,DP103,DP105,DP107,DP109)/1000</f>
        <v>2.1248292580051515</v>
      </c>
      <c r="DQ111" s="209">
        <f t="shared" ref="DQ111:DW111" si="234">SUM(DQ81,DQ83,DQ85,DQ87,DQ89,DQ91,DQ93,DQ95,DQ97,DQ99,DQ101,DQ103,DQ105,DQ107,DQ109)/1000</f>
        <v>0.36619358506008648</v>
      </c>
      <c r="DR111" s="209">
        <f t="shared" si="234"/>
        <v>4.5693517220258046</v>
      </c>
      <c r="DS111" s="209">
        <f t="shared" si="234"/>
        <v>0.33416413583765026</v>
      </c>
      <c r="DT111" s="209">
        <f t="shared" si="234"/>
        <v>5.7402543039162</v>
      </c>
      <c r="DU111" s="209">
        <f t="shared" si="234"/>
        <v>0.30796989593974627</v>
      </c>
      <c r="DV111" s="209">
        <f t="shared" si="234"/>
        <v>6.2516174351815703</v>
      </c>
      <c r="DW111" s="209">
        <f t="shared" si="234"/>
        <v>0.24532859507530499</v>
      </c>
    </row>
    <row r="112" spans="2:127" x14ac:dyDescent="0.15">
      <c r="B112" s="211" t="s">
        <v>152</v>
      </c>
      <c r="C112" s="211" t="s">
        <v>153</v>
      </c>
      <c r="D112" s="211" t="s">
        <v>154</v>
      </c>
      <c r="E112" s="211" t="s">
        <v>155</v>
      </c>
      <c r="P112" s="210">
        <f>O111+P111</f>
        <v>8.0736231286981415</v>
      </c>
      <c r="Q112" s="210"/>
      <c r="R112" s="210">
        <f t="shared" ref="R112" si="235">Q111+R111</f>
        <v>7.3660703630199382</v>
      </c>
      <c r="S112" s="210"/>
      <c r="T112" s="210">
        <f t="shared" ref="T112" si="236">S111+T111</f>
        <v>9.9571109344002515</v>
      </c>
      <c r="U112" s="210"/>
      <c r="V112" s="210">
        <f t="shared" ref="V112" si="237">U111+V111</f>
        <v>10.820138146986757</v>
      </c>
      <c r="AK112" s="210">
        <f>AJ111+AK111</f>
        <v>7.2909578474225745</v>
      </c>
      <c r="AL112" s="210"/>
      <c r="AM112" s="210">
        <f t="shared" ref="AM112" si="238">AL111+AM111</f>
        <v>7.3803123752293986</v>
      </c>
      <c r="AN112" s="210"/>
      <c r="AO112" s="210">
        <f t="shared" ref="AO112" si="239">AN111+AO111</f>
        <v>9.9133242867603393</v>
      </c>
      <c r="AP112" s="210"/>
      <c r="AQ112" s="210">
        <f t="shared" ref="AQ112" si="240">AP111+AQ111</f>
        <v>10.291424870874099</v>
      </c>
      <c r="BF112" s="210">
        <f>BE111+BF111</f>
        <v>5.9283143613319114</v>
      </c>
      <c r="BG112" s="210"/>
      <c r="BH112" s="210">
        <f t="shared" ref="BH112" si="241">BG111+BH111</f>
        <v>7.0834578424063661</v>
      </c>
      <c r="BI112" s="210"/>
      <c r="BJ112" s="210">
        <f t="shared" ref="BJ112" si="242">BI111+BJ111</f>
        <v>9.1820225535928035</v>
      </c>
      <c r="BK112" s="210"/>
      <c r="BL112" s="210">
        <f t="shared" ref="BL112" si="243">BK111+BL111</f>
        <v>9.2026982540469131</v>
      </c>
      <c r="CA112" s="210">
        <f>BZ111+CA111</f>
        <v>4.375610676323082</v>
      </c>
      <c r="CB112" s="210"/>
      <c r="CC112" s="210">
        <f t="shared" ref="CC112" si="244">CB111+CC111</f>
        <v>6.3334654412821356</v>
      </c>
      <c r="CD112" s="210"/>
      <c r="CE112" s="210">
        <f t="shared" ref="CE112" si="245">CD111+CE111</f>
        <v>8.0405344796563991</v>
      </c>
      <c r="CF112" s="210"/>
      <c r="CG112" s="210">
        <f t="shared" ref="CG112" si="246">CF111+CG111</f>
        <v>8.0996513318378636</v>
      </c>
      <c r="CV112" s="210">
        <f>CU111+CV111</f>
        <v>3.0687474987458532</v>
      </c>
      <c r="CW112" s="210"/>
      <c r="CX112" s="210">
        <f t="shared" ref="CX112" si="247">CW111+CX111</f>
        <v>5.3996251973453315</v>
      </c>
      <c r="CY112" s="210"/>
      <c r="CZ112" s="210">
        <f t="shared" ref="CZ112" si="248">CY111+CZ111</f>
        <v>6.7038069571088883</v>
      </c>
      <c r="DA112" s="210"/>
      <c r="DB112" s="210">
        <f t="shared" ref="DB112" si="249">DA111+DB111</f>
        <v>7.0068051739618129</v>
      </c>
      <c r="DQ112" s="210">
        <f>DP111+DQ111</f>
        <v>2.4910228430652381</v>
      </c>
      <c r="DR112" s="210"/>
      <c r="DS112" s="210">
        <f t="shared" ref="DS112" si="250">DR111+DS111</f>
        <v>4.9035158578634546</v>
      </c>
      <c r="DT112" s="210"/>
      <c r="DU112" s="210">
        <f t="shared" ref="DU112" si="251">DT111+DU111</f>
        <v>6.0482241998559463</v>
      </c>
      <c r="DV112" s="210"/>
      <c r="DW112" s="210">
        <f t="shared" ref="DW112" si="252">DV111+DW111</f>
        <v>6.4969460302568756</v>
      </c>
    </row>
    <row r="113" spans="1:6" x14ac:dyDescent="0.15">
      <c r="A113" s="200" t="s">
        <v>27</v>
      </c>
      <c r="B113" s="40">
        <f>P76</f>
        <v>2.8068157617535685</v>
      </c>
      <c r="C113" s="40">
        <f>R76</f>
        <v>5.2865389117421442</v>
      </c>
      <c r="D113" s="40">
        <f>T76</f>
        <v>6.5881576882841699</v>
      </c>
      <c r="E113" s="40">
        <f>V76</f>
        <v>6.9891680068938582</v>
      </c>
    </row>
    <row r="114" spans="1:6" x14ac:dyDescent="0.15">
      <c r="A114" s="200" t="s">
        <v>28</v>
      </c>
      <c r="B114" s="40">
        <f>AK76</f>
        <v>3.9458354416914649</v>
      </c>
      <c r="C114" s="40">
        <f>AM76</f>
        <v>6.2203688516003659</v>
      </c>
      <c r="D114" s="40">
        <f>AO76</f>
        <v>7.8513693891971581</v>
      </c>
      <c r="E114" s="40">
        <f>AQ76</f>
        <v>8.0106832787338647</v>
      </c>
    </row>
    <row r="115" spans="1:6" x14ac:dyDescent="0.15">
      <c r="A115" s="200" t="s">
        <v>29</v>
      </c>
      <c r="B115" s="40">
        <f>BF76</f>
        <v>5.4468157233386369</v>
      </c>
      <c r="C115" s="40">
        <f>BH76</f>
        <v>7.1153854766117766</v>
      </c>
      <c r="D115" s="40">
        <f>BJ76</f>
        <v>9.3644045963854801</v>
      </c>
      <c r="E115" s="40">
        <f>BL76</f>
        <v>9.3615415717910846</v>
      </c>
    </row>
    <row r="116" spans="1:6" x14ac:dyDescent="0.15">
      <c r="A116" s="200" t="s">
        <v>30</v>
      </c>
      <c r="B116" s="40">
        <f>CA76</f>
        <v>6.9725192577061472</v>
      </c>
      <c r="C116" s="40">
        <f>CC76</f>
        <v>7.5323462427311112</v>
      </c>
      <c r="D116" s="40">
        <f>CE76</f>
        <v>10.19017123593691</v>
      </c>
      <c r="E116" s="40">
        <f>CG76</f>
        <v>10.380201507013494</v>
      </c>
    </row>
    <row r="117" spans="1:6" x14ac:dyDescent="0.15">
      <c r="A117" s="200" t="s">
        <v>31</v>
      </c>
      <c r="B117" s="40">
        <f>CV76</f>
        <v>7.9463804461856853</v>
      </c>
      <c r="C117" s="40">
        <f>CX76</f>
        <v>7.5111526619358608</v>
      </c>
      <c r="D117" s="40">
        <f>CZ76</f>
        <v>10.265724293445338</v>
      </c>
      <c r="E117" s="40">
        <f>DB76</f>
        <v>10.943337136582933</v>
      </c>
    </row>
    <row r="118" spans="1:6" x14ac:dyDescent="0.15">
      <c r="A118" s="200" t="s">
        <v>43</v>
      </c>
      <c r="B118" s="40">
        <f>DQ76</f>
        <v>8.2873908465436852</v>
      </c>
      <c r="C118" s="40">
        <f>DS76</f>
        <v>7.3800529888613644</v>
      </c>
      <c r="D118" s="40">
        <f>DU76</f>
        <v>10.036284564552666</v>
      </c>
      <c r="E118" s="40">
        <f>DW76</f>
        <v>11.048560205128847</v>
      </c>
    </row>
    <row r="119" spans="1:6" x14ac:dyDescent="0.15">
      <c r="A119" s="200" t="s">
        <v>32</v>
      </c>
      <c r="B119" s="40">
        <f>P112</f>
        <v>8.0736231286981415</v>
      </c>
      <c r="C119" s="40">
        <f>R112</f>
        <v>7.3660703630199382</v>
      </c>
      <c r="D119" s="40">
        <f>T112</f>
        <v>9.9571109344002515</v>
      </c>
      <c r="E119" s="40">
        <f>V112</f>
        <v>10.820138146986757</v>
      </c>
    </row>
    <row r="120" spans="1:6" x14ac:dyDescent="0.15">
      <c r="A120" s="200" t="s">
        <v>33</v>
      </c>
      <c r="B120" s="40">
        <f>AK112</f>
        <v>7.2909578474225745</v>
      </c>
      <c r="C120" s="40">
        <f>AM112</f>
        <v>7.3803123752293986</v>
      </c>
      <c r="D120" s="40">
        <f>AO112</f>
        <v>9.9133242867603393</v>
      </c>
      <c r="E120" s="40">
        <f>AQ112</f>
        <v>10.291424870874099</v>
      </c>
    </row>
    <row r="121" spans="1:6" x14ac:dyDescent="0.15">
      <c r="A121" s="200" t="s">
        <v>34</v>
      </c>
      <c r="B121" s="40">
        <f>BF112</f>
        <v>5.9283143613319114</v>
      </c>
      <c r="C121" s="40">
        <f>BH112</f>
        <v>7.0834578424063661</v>
      </c>
      <c r="D121" s="40">
        <f>BJ112</f>
        <v>9.1820225535928035</v>
      </c>
      <c r="E121" s="40">
        <f>BL112</f>
        <v>9.2026982540469131</v>
      </c>
    </row>
    <row r="122" spans="1:6" x14ac:dyDescent="0.15">
      <c r="A122" s="200" t="s">
        <v>35</v>
      </c>
      <c r="B122" s="40">
        <f>CA112</f>
        <v>4.375610676323082</v>
      </c>
      <c r="C122" s="40">
        <f>CC112</f>
        <v>6.3334654412821356</v>
      </c>
      <c r="D122" s="40">
        <f>CE112</f>
        <v>8.0405344796563991</v>
      </c>
      <c r="E122" s="40">
        <f>CG112</f>
        <v>8.0996513318378636</v>
      </c>
    </row>
    <row r="123" spans="1:6" x14ac:dyDescent="0.15">
      <c r="A123" s="200" t="s">
        <v>36</v>
      </c>
      <c r="B123" s="40">
        <f>CV112</f>
        <v>3.0687474987458532</v>
      </c>
      <c r="C123" s="40">
        <f>CX112</f>
        <v>5.3996251973453315</v>
      </c>
      <c r="D123" s="40">
        <f>CZ112</f>
        <v>6.7038069571088883</v>
      </c>
      <c r="E123" s="40">
        <f>DB112</f>
        <v>7.0068051739618129</v>
      </c>
    </row>
    <row r="124" spans="1:6" x14ac:dyDescent="0.15">
      <c r="A124" s="200" t="s">
        <v>37</v>
      </c>
      <c r="B124" s="40">
        <f>DQ112</f>
        <v>2.4910228430652381</v>
      </c>
      <c r="C124" s="40">
        <f>DS112</f>
        <v>4.9035158578634546</v>
      </c>
      <c r="D124" s="40">
        <f>DU112</f>
        <v>6.0482241998559463</v>
      </c>
      <c r="E124" s="40">
        <f>DW112</f>
        <v>6.4969460302568756</v>
      </c>
    </row>
    <row r="125" spans="1:6" x14ac:dyDescent="0.15">
      <c r="A125" s="212" t="s">
        <v>201</v>
      </c>
      <c r="B125" s="181">
        <f>(B113*31)+(B114*28)+(B115*31)+(B116*30)+(B117*31)+(B118*30)+(B119*31)+(B120*31)+(B121*30)+(B122*31)+(B123*30)+(B124*31)</f>
        <v>2029.5605705275836</v>
      </c>
      <c r="C125" s="181">
        <f t="shared" ref="C125:E125" si="253">(C113*31)+(C114*28)+(C115*31)+(C116*30)+(C117*31)+(C118*30)+(C119*31)+(C120*31)+(C121*30)+(C122*31)+(C123*30)+(C124*31)</f>
        <v>2418.824469703361</v>
      </c>
      <c r="D125" s="181">
        <f t="shared" si="253"/>
        <v>3168.7087970756838</v>
      </c>
      <c r="E125" s="181">
        <f t="shared" si="253"/>
        <v>3306.5155059610079</v>
      </c>
      <c r="F125" s="36" t="s">
        <v>203</v>
      </c>
    </row>
    <row r="126" spans="1:6" x14ac:dyDescent="0.15">
      <c r="A126" s="212" t="s">
        <v>202</v>
      </c>
      <c r="B126" s="181">
        <f>SUM(B113:B124)/12*365</f>
        <v>2026.785195747849</v>
      </c>
      <c r="C126" s="181">
        <f t="shared" ref="C126:E126" si="254">SUM(C113:C124)/12*365</f>
        <v>2418.4988880733067</v>
      </c>
      <c r="D126" s="181">
        <f t="shared" si="254"/>
        <v>3167.626195033281</v>
      </c>
      <c r="E126" s="181">
        <f t="shared" si="254"/>
        <v>3304.8059802207972</v>
      </c>
      <c r="F126" s="36" t="s">
        <v>204</v>
      </c>
    </row>
    <row r="127" spans="1:6" x14ac:dyDescent="0.15">
      <c r="A127" s="212"/>
    </row>
  </sheetData>
  <mergeCells count="54">
    <mergeCell ref="DP78:DQ78"/>
    <mergeCell ref="DR78:DS78"/>
    <mergeCell ref="DT78:DU78"/>
    <mergeCell ref="DV78:DW78"/>
    <mergeCell ref="CF78:CG78"/>
    <mergeCell ref="CU78:CV78"/>
    <mergeCell ref="CW78:CX78"/>
    <mergeCell ref="CY78:CZ78"/>
    <mergeCell ref="DA78:DB78"/>
    <mergeCell ref="BI78:BJ78"/>
    <mergeCell ref="BK78:BL78"/>
    <mergeCell ref="BZ78:CA78"/>
    <mergeCell ref="CB78:CC78"/>
    <mergeCell ref="CD78:CE78"/>
    <mergeCell ref="AL78:AM78"/>
    <mergeCell ref="AN78:AO78"/>
    <mergeCell ref="AP78:AQ78"/>
    <mergeCell ref="BE78:BF78"/>
    <mergeCell ref="BG78:BH78"/>
    <mergeCell ref="O78:P78"/>
    <mergeCell ref="Q78:R78"/>
    <mergeCell ref="S78:T78"/>
    <mergeCell ref="U78:V78"/>
    <mergeCell ref="AJ78:AK78"/>
    <mergeCell ref="DA42:DB42"/>
    <mergeCell ref="DP42:DQ42"/>
    <mergeCell ref="DR42:DS42"/>
    <mergeCell ref="DT42:DU42"/>
    <mergeCell ref="DV42:DW42"/>
    <mergeCell ref="CD42:CE42"/>
    <mergeCell ref="CF42:CG42"/>
    <mergeCell ref="CU42:CV42"/>
    <mergeCell ref="CW42:CX42"/>
    <mergeCell ref="CY42:CZ42"/>
    <mergeCell ref="BG42:BH42"/>
    <mergeCell ref="BI42:BJ42"/>
    <mergeCell ref="BK42:BL42"/>
    <mergeCell ref="BZ42:CA42"/>
    <mergeCell ref="CB42:CC42"/>
    <mergeCell ref="AJ42:AK42"/>
    <mergeCell ref="AL42:AM42"/>
    <mergeCell ref="AN42:AO42"/>
    <mergeCell ref="AP42:AQ42"/>
    <mergeCell ref="BE42:BF42"/>
    <mergeCell ref="O42:P42"/>
    <mergeCell ref="Q42:R42"/>
    <mergeCell ref="S42:T42"/>
    <mergeCell ref="U42:V42"/>
    <mergeCell ref="K36:N36"/>
    <mergeCell ref="O1:R1"/>
    <mergeCell ref="S1:U1"/>
    <mergeCell ref="V1:X1"/>
    <mergeCell ref="Y1:AA1"/>
    <mergeCell ref="AB1:AD1"/>
  </mergeCells>
  <pageMargins left="0.7" right="0.7" top="0.75" bottom="0.75" header="0.3" footer="0.3"/>
  <pageSetup orientation="portrait" horizontalDpi="1200" verticalDpi="120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FFEFF-99FD-43F5-833C-652084965863}">
  <dimension ref="A1:I36"/>
  <sheetViews>
    <sheetView workbookViewId="0">
      <selection activeCell="A37" sqref="A37"/>
    </sheetView>
  </sheetViews>
  <sheetFormatPr baseColWidth="10" defaultColWidth="8.83203125" defaultRowHeight="13" x14ac:dyDescent="0.15"/>
  <sheetData>
    <row r="1" spans="1:9" x14ac:dyDescent="0.15">
      <c r="A1" t="s">
        <v>230</v>
      </c>
    </row>
    <row r="2" spans="1:9" x14ac:dyDescent="0.15">
      <c r="A2" s="157">
        <f>Graph!A2</f>
        <v>4.5</v>
      </c>
      <c r="B2" s="38">
        <f>IF(PSH!$J3&lt;(90-Insolation!$L$7),PSH!V3,0)</f>
        <v>0</v>
      </c>
      <c r="C2" s="38">
        <f>IF(PSH!$J3&lt;(90-Insolation!$L$7),PSH!W3,0)</f>
        <v>0</v>
      </c>
      <c r="D2" s="38">
        <f>IF(PSH!$J3&lt;(90-Insolation!$L$7),PSH!X3,0)</f>
        <v>0</v>
      </c>
      <c r="E2" s="38">
        <f>IF(PSH!$J3&lt;(90-Insolation!$L$7),PSH!AB3,0)</f>
        <v>0</v>
      </c>
      <c r="F2" s="38">
        <f>IF(PSH!$J3&lt;(90-Insolation!$L$7),PSH!AC3,0)</f>
        <v>0</v>
      </c>
      <c r="G2" s="38">
        <f>IF(PSH!$J3&lt;(90-Insolation!$L$7),PSH!AD3,0)</f>
        <v>0</v>
      </c>
    </row>
    <row r="3" spans="1:9" x14ac:dyDescent="0.15">
      <c r="A3" s="157">
        <f>Graph!A3</f>
        <v>5</v>
      </c>
      <c r="B3" s="38">
        <f>IF(PSH!$J4&lt;(90-Insolation!$L$7),PSH!V4,0)</f>
        <v>12.970736361764875</v>
      </c>
      <c r="C3" s="38">
        <f>IF(PSH!$J4&lt;(90-Insolation!$L$7),PSH!W4,0)</f>
        <v>2.626096917383177</v>
      </c>
      <c r="D3" s="38">
        <f>IF(PSH!$J4&lt;(90-Insolation!$L$7),PSH!X4,0)</f>
        <v>7.0176051577815937E-2</v>
      </c>
      <c r="E3" s="38">
        <f>IF(PSH!$J4&lt;(90-Insolation!$L$7),PSH!AB4,0)</f>
        <v>21.330251603928545</v>
      </c>
      <c r="F3" s="38">
        <f>IF(PSH!$J4&lt;(90-Insolation!$L$7),PSH!AC4,0)</f>
        <v>1.5153888427982474</v>
      </c>
      <c r="G3" s="38">
        <f>IF(PSH!$J4&lt;(90-Insolation!$L$7),PSH!AD4,0)</f>
        <v>0.37983845141900396</v>
      </c>
    </row>
    <row r="4" spans="1:9" x14ac:dyDescent="0.15">
      <c r="A4" s="157">
        <f>Graph!A4</f>
        <v>5.5</v>
      </c>
      <c r="B4" s="38">
        <f>IF(PSH!$J5&lt;(90-Insolation!$L$7),PSH!V5,0)</f>
        <v>173.55018365500968</v>
      </c>
      <c r="C4" s="38">
        <f>IF(PSH!$J5&lt;(90-Insolation!$L$7),PSH!W5,0)</f>
        <v>31.499890705124294</v>
      </c>
      <c r="D4" s="38">
        <f>IF(PSH!$J5&lt;(90-Insolation!$L$7),PSH!X5,0)</f>
        <v>1.2505228881079899</v>
      </c>
      <c r="E4" s="38">
        <f>IF(PSH!$J5&lt;(90-Insolation!$L$7),PSH!AB5,0)</f>
        <v>255.85521607712755</v>
      </c>
      <c r="F4" s="38">
        <f>IF(PSH!$J5&lt;(90-Insolation!$L$7),PSH!AC5,0)</f>
        <v>19.753313499944248</v>
      </c>
      <c r="G4" s="38">
        <f>IF(PSH!$J5&lt;(90-Insolation!$L$7),PSH!AD5,0)</f>
        <v>6.1157632646982609</v>
      </c>
      <c r="I4" s="38">
        <f>(90-Insolation!$L$7)</f>
        <v>55.595407628686516</v>
      </c>
    </row>
    <row r="5" spans="1:9" x14ac:dyDescent="0.15">
      <c r="A5" s="157">
        <f>Graph!A5</f>
        <v>6</v>
      </c>
      <c r="B5" s="38">
        <f>IF(PSH!$J6&lt;(90-Insolation!$L$7),PSH!V6,0)</f>
        <v>335.58541746967529</v>
      </c>
      <c r="C5" s="38">
        <f>IF(PSH!$J6&lt;(90-Insolation!$L$7),PSH!W6,0)</f>
        <v>55.475989049873341</v>
      </c>
      <c r="D5" s="38">
        <f>IF(PSH!$J6&lt;(90-Insolation!$L$7),PSH!X6,0)</f>
        <v>2.9347845110914039</v>
      </c>
      <c r="E5" s="38">
        <f>IF(PSH!$J6&lt;(90-Insolation!$L$7),PSH!AB6,0)</f>
        <v>450.59906074971565</v>
      </c>
      <c r="F5" s="38">
        <f>IF(PSH!$J6&lt;(90-Insolation!$L$7),PSH!AC6,0)</f>
        <v>37.612957133309386</v>
      </c>
      <c r="G5" s="38">
        <f>IF(PSH!$J6&lt;(90-Insolation!$L$7),PSH!AD6,0)</f>
        <v>12.793871660234963</v>
      </c>
      <c r="I5" s="38">
        <f>PSH!$J22</f>
        <v>58.639760317883933</v>
      </c>
    </row>
    <row r="6" spans="1:9" x14ac:dyDescent="0.15">
      <c r="A6" s="157">
        <f>Graph!A6</f>
        <v>6.5</v>
      </c>
      <c r="B6" s="38">
        <f>IF(PSH!$J7&lt;(90-Insolation!$L$7),PSH!V7,0)</f>
        <v>465.11444077732995</v>
      </c>
      <c r="C6" s="38">
        <f>IF(PSH!$J7&lt;(90-Insolation!$L$7),PSH!W7,0)</f>
        <v>71.05869385684403</v>
      </c>
      <c r="D6" s="38">
        <f>IF(PSH!$J7&lt;(90-Insolation!$L$7),PSH!X7,0)</f>
        <v>4.6972992297666307</v>
      </c>
      <c r="E6" s="38">
        <f>IF(PSH!$J7&lt;(90-Insolation!$L$7),PSH!AB7,0)</f>
        <v>577.16827150589779</v>
      </c>
      <c r="F6" s="38">
        <f>IF(PSH!$J7&lt;(90-Insolation!$L$7),PSH!AC7,0)</f>
        <v>51.795892438491599</v>
      </c>
      <c r="G6" s="38">
        <f>IF(PSH!$J7&lt;(90-Insolation!$L$7),PSH!AD7,0)</f>
        <v>17.982276650538545</v>
      </c>
    </row>
    <row r="7" spans="1:9" x14ac:dyDescent="0.15">
      <c r="A7" s="157">
        <f>Graph!A7</f>
        <v>7</v>
      </c>
      <c r="B7" s="38">
        <f>IF(PSH!$J8&lt;(90-Insolation!$L$7),PSH!V8,0)</f>
        <v>569.40236977110635</v>
      </c>
      <c r="C7" s="38">
        <f>IF(PSH!$J8&lt;(90-Insolation!$L$7),PSH!W8,0)</f>
        <v>81.491871648291578</v>
      </c>
      <c r="D7" s="38">
        <f>IF(PSH!$J8&lt;(90-Insolation!$L$7),PSH!X8,0)</f>
        <v>6.4444755682617645</v>
      </c>
      <c r="E7" s="38">
        <f>IF(PSH!$J8&lt;(90-Insolation!$L$7),PSH!AB8,0)</f>
        <v>661.91088166891188</v>
      </c>
      <c r="F7" s="38">
        <f>IF(PSH!$J8&lt;(90-Insolation!$L$7),PSH!AC8,0)</f>
        <v>63.478800303069654</v>
      </c>
      <c r="G7" s="38">
        <f>IF(PSH!$J8&lt;(90-Insolation!$L$7),PSH!AD8,0)</f>
        <v>21.306275994593161</v>
      </c>
    </row>
    <row r="8" spans="1:9" x14ac:dyDescent="0.15">
      <c r="A8" s="157">
        <f>Graph!A8</f>
        <v>7.5</v>
      </c>
      <c r="B8" s="38">
        <f>IF(PSH!$J9&lt;(90-Insolation!$L$7),PSH!V9,0)</f>
        <v>653.87503243252843</v>
      </c>
      <c r="C8" s="38">
        <f>IF(PSH!$J9&lt;(90-Insolation!$L$7),PSH!W9,0)</f>
        <v>88.783519546323106</v>
      </c>
      <c r="D8" s="38">
        <f>IF(PSH!$J9&lt;(90-Insolation!$L$7),PSH!X9,0)</f>
        <v>8.1334565664090821</v>
      </c>
      <c r="E8" s="38">
        <f>IF(PSH!$J9&lt;(90-Insolation!$L$7),PSH!AB9,0)</f>
        <v>721.13667917955854</v>
      </c>
      <c r="F8" s="38">
        <f>IF(PSH!$J9&lt;(90-Insolation!$L$7),PSH!AC9,0)</f>
        <v>73.448204621581368</v>
      </c>
      <c r="G8" s="38">
        <f>IF(PSH!$J9&lt;(90-Insolation!$L$7),PSH!AD9,0)</f>
        <v>22.790482638714373</v>
      </c>
    </row>
    <row r="9" spans="1:9" x14ac:dyDescent="0.15">
      <c r="A9" s="157">
        <f>Graph!A9</f>
        <v>8</v>
      </c>
      <c r="B9" s="38">
        <f>IF(PSH!$J10&lt;(90-Insolation!$L$7),PSH!V10,0)</f>
        <v>721.45847268545504</v>
      </c>
      <c r="C9" s="38">
        <f>IF(PSH!$J10&lt;(90-Insolation!$L$7),PSH!W10,0)</f>
        <v>94.055182214289218</v>
      </c>
      <c r="D9" s="38">
        <f>IF(PSH!$J10&lt;(90-Insolation!$L$7),PSH!X10,0)</f>
        <v>9.7324963059124929</v>
      </c>
      <c r="E9" s="38">
        <f>IF(PSH!$J10&lt;(90-Insolation!$L$7),PSH!AB10,0)</f>
        <v>763.95531634958468</v>
      </c>
      <c r="F9" s="38">
        <f>IF(PSH!$J10&lt;(90-Insolation!$L$7),PSH!AC10,0)</f>
        <v>82.113297475062808</v>
      </c>
      <c r="G9" s="38">
        <f>IF(PSH!$J10&lt;(90-Insolation!$L$7),PSH!AD10,0)</f>
        <v>22.62462880576053</v>
      </c>
    </row>
    <row r="10" spans="1:9" x14ac:dyDescent="0.15">
      <c r="A10" s="157">
        <f>Graph!A10</f>
        <v>8.5</v>
      </c>
      <c r="B10" s="38">
        <f>IF(PSH!$J11&lt;(90-Insolation!$L$7),PSH!V11,0)</f>
        <v>773.76229214580644</v>
      </c>
      <c r="C10" s="38">
        <f>IF(PSH!$J11&lt;(90-Insolation!$L$7),PSH!W11,0)</f>
        <v>97.95671135961112</v>
      </c>
      <c r="D10" s="38">
        <f>IF(PSH!$J11&lt;(90-Insolation!$L$7),PSH!X11,0)</f>
        <v>11.213846552313658</v>
      </c>
      <c r="E10" s="38">
        <f>IF(PSH!$J11&lt;(90-Insolation!$L$7),PSH!AB11,0)</f>
        <v>795.64515908117096</v>
      </c>
      <c r="F10" s="38">
        <f>IF(PSH!$J11&lt;(90-Insolation!$L$7),PSH!AC11,0)</f>
        <v>89.675104360526916</v>
      </c>
      <c r="G10" s="38">
        <f>IF(PSH!$J11&lt;(90-Insolation!$L$7),PSH!AD11,0)</f>
        <v>21.104964866409745</v>
      </c>
    </row>
    <row r="11" spans="1:9" x14ac:dyDescent="0.15">
      <c r="A11" s="157">
        <f>Graph!A11</f>
        <v>9</v>
      </c>
      <c r="B11" s="38">
        <f>IF(PSH!$J12&lt;(90-Insolation!$L$7),PSH!V12,0)</f>
        <v>811.83829505403151</v>
      </c>
      <c r="C11" s="38">
        <f>IF(PSH!$J12&lt;(90-Insolation!$L$7),PSH!W12,0)</f>
        <v>100.88312123699748</v>
      </c>
      <c r="D11" s="38">
        <f>IF(PSH!$J12&lt;(90-Insolation!$L$7),PSH!X12,0)</f>
        <v>12.552394369484601</v>
      </c>
      <c r="E11" s="38">
        <f>IF(PSH!$J12&lt;(90-Insolation!$L$7),PSH!AB12,0)</f>
        <v>819.41467747467846</v>
      </c>
      <c r="F11" s="38">
        <f>IF(PSH!$J12&lt;(90-Insolation!$L$7),PSH!AC12,0)</f>
        <v>96.224020095693476</v>
      </c>
      <c r="G11" s="38">
        <f>IF(PSH!$J12&lt;(90-Insolation!$L$7),PSH!AD12,0)</f>
        <v>18.600516747023022</v>
      </c>
    </row>
    <row r="12" spans="1:9" x14ac:dyDescent="0.15">
      <c r="A12" s="157">
        <f>Graph!A12</f>
        <v>9.5</v>
      </c>
      <c r="B12" s="38">
        <f>IF(PSH!$J13&lt;(90-Insolation!$L$7),PSH!V13,0)</f>
        <v>836.64591791899625</v>
      </c>
      <c r="C12" s="38">
        <f>IF(PSH!$J13&lt;(90-Insolation!$L$7),PSH!W13,0)</f>
        <v>103.08451922239618</v>
      </c>
      <c r="D12" s="38">
        <f>IF(PSH!$J13&lt;(90-Insolation!$L$7),PSH!X13,0)</f>
        <v>13.725588588801916</v>
      </c>
      <c r="E12" s="38">
        <f>IF(PSH!$J13&lt;(90-Insolation!$L$7),PSH!AB13,0)</f>
        <v>837.29534768075985</v>
      </c>
      <c r="F12" s="38">
        <f>IF(PSH!$J13&lt;(90-Insolation!$L$7),PSH!AC13,0)</f>
        <v>101.79163241573194</v>
      </c>
      <c r="G12" s="38">
        <f>IF(PSH!$J13&lt;(90-Insolation!$L$7),PSH!AD13,0)</f>
        <v>15.521597130992021</v>
      </c>
    </row>
    <row r="13" spans="1:9" x14ac:dyDescent="0.15">
      <c r="A13" s="157">
        <f>Graph!A13</f>
        <v>10</v>
      </c>
      <c r="B13" s="38">
        <f>IF(PSH!$J14&lt;(90-Insolation!$L$7),PSH!V14,0)</f>
        <v>0</v>
      </c>
      <c r="C13" s="38">
        <f>IF(PSH!$J14&lt;(90-Insolation!$L$7),PSH!W14,0)</f>
        <v>0</v>
      </c>
      <c r="D13" s="38">
        <f>IF(PSH!$J14&lt;(90-Insolation!$L$7),PSH!X14,0)</f>
        <v>0</v>
      </c>
      <c r="E13" s="38">
        <f>IF(PSH!$J14&lt;(90-Insolation!$L$7),PSH!AB14,0)</f>
        <v>0</v>
      </c>
      <c r="F13" s="38">
        <f>IF(PSH!$J14&lt;(90-Insolation!$L$7),PSH!AC14,0)</f>
        <v>0</v>
      </c>
      <c r="G13" s="38">
        <f>IF(PSH!$J14&lt;(90-Insolation!$L$7),PSH!AD14,0)</f>
        <v>0</v>
      </c>
    </row>
    <row r="14" spans="1:9" x14ac:dyDescent="0.15">
      <c r="A14" s="157">
        <f>Graph!A14</f>
        <v>10.5</v>
      </c>
      <c r="B14" s="38">
        <f>IF(PSH!$J15&lt;(90-Insolation!$L$7),PSH!V15,0)</f>
        <v>0</v>
      </c>
      <c r="C14" s="38">
        <f>IF(PSH!$J15&lt;(90-Insolation!$L$7),PSH!W15,0)</f>
        <v>0</v>
      </c>
      <c r="D14" s="38">
        <f>IF(PSH!$J15&lt;(90-Insolation!$L$7),PSH!X15,0)</f>
        <v>0</v>
      </c>
      <c r="E14" s="38">
        <f>IF(PSH!$J15&lt;(90-Insolation!$L$7),PSH!AB15,0)</f>
        <v>0</v>
      </c>
      <c r="F14" s="38">
        <f>IF(PSH!$J15&lt;(90-Insolation!$L$7),PSH!AC15,0)</f>
        <v>0</v>
      </c>
      <c r="G14" s="38">
        <f>IF(PSH!$J15&lt;(90-Insolation!$L$7),PSH!AD15,0)</f>
        <v>0</v>
      </c>
    </row>
    <row r="15" spans="1:9" x14ac:dyDescent="0.15">
      <c r="A15" s="157">
        <f>Graph!A15</f>
        <v>11</v>
      </c>
      <c r="B15" s="38">
        <f>IF(PSH!$J16&lt;(90-Insolation!$L$7),PSH!V16,0)</f>
        <v>0</v>
      </c>
      <c r="C15" s="38">
        <f>IF(PSH!$J16&lt;(90-Insolation!$L$7),PSH!W16,0)</f>
        <v>0</v>
      </c>
      <c r="D15" s="38">
        <f>IF(PSH!$J16&lt;(90-Insolation!$L$7),PSH!X16,0)</f>
        <v>0</v>
      </c>
      <c r="E15" s="38">
        <f>IF(PSH!$J16&lt;(90-Insolation!$L$7),PSH!AB16,0)</f>
        <v>0</v>
      </c>
      <c r="F15" s="38">
        <f>IF(PSH!$J16&lt;(90-Insolation!$L$7),PSH!AC16,0)</f>
        <v>0</v>
      </c>
      <c r="G15" s="38">
        <f>IF(PSH!$J16&lt;(90-Insolation!$L$7),PSH!AD16,0)</f>
        <v>0</v>
      </c>
    </row>
    <row r="16" spans="1:9" x14ac:dyDescent="0.15">
      <c r="A16" s="157">
        <f>Graph!A16</f>
        <v>11.5</v>
      </c>
      <c r="B16" s="38">
        <f>IF(PSH!$J17&lt;(90-Insolation!$L$7),PSH!V17,0)</f>
        <v>0</v>
      </c>
      <c r="C16" s="38">
        <f>IF(PSH!$J17&lt;(90-Insolation!$L$7),PSH!W17,0)</f>
        <v>0</v>
      </c>
      <c r="D16" s="38">
        <f>IF(PSH!$J17&lt;(90-Insolation!$L$7),PSH!X17,0)</f>
        <v>0</v>
      </c>
      <c r="E16" s="38">
        <f>IF(PSH!$J17&lt;(90-Insolation!$L$7),PSH!AB17,0)</f>
        <v>0</v>
      </c>
      <c r="F16" s="38">
        <f>IF(PSH!$J17&lt;(90-Insolation!$L$7),PSH!AC17,0)</f>
        <v>0</v>
      </c>
      <c r="G16" s="38">
        <f>IF(PSH!$J17&lt;(90-Insolation!$L$7),PSH!AD17,0)</f>
        <v>0</v>
      </c>
    </row>
    <row r="17" spans="1:7" x14ac:dyDescent="0.15">
      <c r="A17" s="157">
        <f>Graph!A17</f>
        <v>12</v>
      </c>
      <c r="B17" s="38">
        <f>IF(PSH!$J18&lt;(90-Insolation!$L$7),PSH!V18,0)</f>
        <v>0</v>
      </c>
      <c r="C17" s="38">
        <f>IF(PSH!$J18&lt;(90-Insolation!$L$7),PSH!W18,0)</f>
        <v>0</v>
      </c>
      <c r="D17" s="38">
        <f>IF(PSH!$J18&lt;(90-Insolation!$L$7),PSH!X18,0)</f>
        <v>0</v>
      </c>
      <c r="E17" s="38">
        <f>IF(PSH!$J18&lt;(90-Insolation!$L$7),PSH!AB18,0)</f>
        <v>0</v>
      </c>
      <c r="F17" s="38">
        <f>IF(PSH!$J18&lt;(90-Insolation!$L$7),PSH!AC18,0)</f>
        <v>0</v>
      </c>
      <c r="G17" s="38">
        <f>IF(PSH!$J18&lt;(90-Insolation!$L$7),PSH!AD18,0)</f>
        <v>0</v>
      </c>
    </row>
    <row r="18" spans="1:7" x14ac:dyDescent="0.15">
      <c r="A18" s="157">
        <f>Graph!A18</f>
        <v>12.5</v>
      </c>
      <c r="B18" s="38">
        <f>IF(PSH!$J19&lt;(90-Insolation!$L$7),PSH!V19,0)</f>
        <v>0</v>
      </c>
      <c r="C18" s="38">
        <f>IF(PSH!$J19&lt;(90-Insolation!$L$7),PSH!W19,0)</f>
        <v>0</v>
      </c>
      <c r="D18" s="38">
        <f>IF(PSH!$J19&lt;(90-Insolation!$L$7),PSH!X19,0)</f>
        <v>0</v>
      </c>
      <c r="E18" s="38">
        <f>IF(PSH!$J19&lt;(90-Insolation!$L$7),PSH!AB19,0)</f>
        <v>0</v>
      </c>
      <c r="F18" s="38">
        <f>IF(PSH!$J19&lt;(90-Insolation!$L$7),PSH!AC19,0)</f>
        <v>0</v>
      </c>
      <c r="G18" s="38">
        <f>IF(PSH!$J19&lt;(90-Insolation!$L$7),PSH!AD19,0)</f>
        <v>0</v>
      </c>
    </row>
    <row r="19" spans="1:7" x14ac:dyDescent="0.15">
      <c r="A19" s="157">
        <f>Graph!A19</f>
        <v>13</v>
      </c>
      <c r="B19" s="38">
        <f>IF(PSH!$J20&lt;(90-Insolation!$L$7),PSH!V20,0)</f>
        <v>0</v>
      </c>
      <c r="C19" s="38">
        <f>IF(PSH!$J20&lt;(90-Insolation!$L$7),PSH!W20,0)</f>
        <v>0</v>
      </c>
      <c r="D19" s="38">
        <f>IF(PSH!$J20&lt;(90-Insolation!$L$7),PSH!X20,0)</f>
        <v>0</v>
      </c>
      <c r="E19" s="38">
        <f>IF(PSH!$J20&lt;(90-Insolation!$L$7),PSH!AB20,0)</f>
        <v>0</v>
      </c>
      <c r="F19" s="38">
        <f>IF(PSH!$J20&lt;(90-Insolation!$L$7),PSH!AC20,0)</f>
        <v>0</v>
      </c>
      <c r="G19" s="38">
        <f>IF(PSH!$J20&lt;(90-Insolation!$L$7),PSH!AD20,0)</f>
        <v>0</v>
      </c>
    </row>
    <row r="20" spans="1:7" x14ac:dyDescent="0.15">
      <c r="A20" s="157">
        <f>Graph!A20</f>
        <v>13.5</v>
      </c>
      <c r="B20" s="38">
        <f>IF(PSH!$J21&lt;(90-Insolation!$L$7),PSH!V21,0)</f>
        <v>0</v>
      </c>
      <c r="C20" s="38">
        <f>IF(PSH!$J21&lt;(90-Insolation!$L$7),PSH!W21,0)</f>
        <v>0</v>
      </c>
      <c r="D20" s="38">
        <f>IF(PSH!$J21&lt;(90-Insolation!$L$7),PSH!X21,0)</f>
        <v>0</v>
      </c>
      <c r="E20" s="38">
        <f>IF(PSH!$J21&lt;(90-Insolation!$L$7),PSH!AB21,0)</f>
        <v>0</v>
      </c>
      <c r="F20" s="38">
        <f>IF(PSH!$J21&lt;(90-Insolation!$L$7),PSH!AC21,0)</f>
        <v>0</v>
      </c>
      <c r="G20" s="38">
        <f>IF(PSH!$J21&lt;(90-Insolation!$L$7),PSH!AD21,0)</f>
        <v>0</v>
      </c>
    </row>
    <row r="21" spans="1:7" x14ac:dyDescent="0.15">
      <c r="A21" s="157">
        <f>Graph!A21</f>
        <v>14</v>
      </c>
      <c r="B21" s="38">
        <f>IF(PSH!$J22&lt;(90-Insolation!$L$7),PSH!V22,0)</f>
        <v>0</v>
      </c>
      <c r="C21" s="38">
        <f>IF(PSH!$J22&lt;(90-Insolation!$L$7),PSH!W22,0)</f>
        <v>0</v>
      </c>
      <c r="D21" s="38">
        <f>IF(PSH!$J22&lt;(90-Insolation!$L$7),PSH!X22,0)</f>
        <v>0</v>
      </c>
      <c r="E21" s="38">
        <f>IF(PSH!$J22&lt;(90-Insolation!$L$7),PSH!AB22,0)</f>
        <v>0</v>
      </c>
      <c r="F21" s="38">
        <f>IF(PSH!$J22&lt;(90-Insolation!$L$7),PSH!AC22,0)</f>
        <v>0</v>
      </c>
      <c r="G21" s="38">
        <f>IF(PSH!$J22&lt;(90-Insolation!$L$7),PSH!AD22,0)</f>
        <v>0</v>
      </c>
    </row>
    <row r="22" spans="1:7" x14ac:dyDescent="0.15">
      <c r="A22" s="157">
        <f>Graph!A22</f>
        <v>14.5</v>
      </c>
      <c r="B22" s="38">
        <f>IF(PSH!$J23&lt;(90-Insolation!$L$7),PSH!V23,0)</f>
        <v>836.64591791899625</v>
      </c>
      <c r="C22" s="38">
        <f>IF(PSH!$J23&lt;(90-Insolation!$L$7),PSH!W23,0)</f>
        <v>103.08451922239618</v>
      </c>
      <c r="D22" s="38">
        <f>IF(PSH!$J23&lt;(90-Insolation!$L$7),PSH!X23,0)</f>
        <v>13.725588588801916</v>
      </c>
      <c r="E22" s="38">
        <f>IF(PSH!$J23&lt;(90-Insolation!$L$7),PSH!AB23,0)</f>
        <v>837.29534768075985</v>
      </c>
      <c r="F22" s="38">
        <f>IF(PSH!$J23&lt;(90-Insolation!$L$7),PSH!AC23,0)</f>
        <v>101.79163241573194</v>
      </c>
      <c r="G22" s="38">
        <f>IF(PSH!$J23&lt;(90-Insolation!$L$7),PSH!AD23,0)</f>
        <v>15.521597130992021</v>
      </c>
    </row>
    <row r="23" spans="1:7" x14ac:dyDescent="0.15">
      <c r="A23" s="157">
        <f>Graph!A23</f>
        <v>15</v>
      </c>
      <c r="B23" s="38">
        <f>IF(PSH!$J24&lt;(90-Insolation!$L$7),PSH!V24,0)</f>
        <v>811.83829505403151</v>
      </c>
      <c r="C23" s="38">
        <f>IF(PSH!$J24&lt;(90-Insolation!$L$7),PSH!W24,0)</f>
        <v>100.88312123699748</v>
      </c>
      <c r="D23" s="38">
        <f>IF(PSH!$J24&lt;(90-Insolation!$L$7),PSH!X24,0)</f>
        <v>12.552394369484601</v>
      </c>
      <c r="E23" s="38">
        <f>IF(PSH!$J24&lt;(90-Insolation!$L$7),PSH!AB24,0)</f>
        <v>819.41467747467846</v>
      </c>
      <c r="F23" s="38">
        <f>IF(PSH!$J24&lt;(90-Insolation!$L$7),PSH!AC24,0)</f>
        <v>96.224020095693476</v>
      </c>
      <c r="G23" s="38">
        <f>IF(PSH!$J24&lt;(90-Insolation!$L$7),PSH!AD24,0)</f>
        <v>18.600516747023022</v>
      </c>
    </row>
    <row r="24" spans="1:7" x14ac:dyDescent="0.15">
      <c r="A24" s="157">
        <f>Graph!A24</f>
        <v>15.5</v>
      </c>
      <c r="B24" s="38">
        <f>IF(PSH!$J25&lt;(90-Insolation!$L$7),PSH!V25,0)</f>
        <v>773.76229214580644</v>
      </c>
      <c r="C24" s="38">
        <f>IF(PSH!$J25&lt;(90-Insolation!$L$7),PSH!W25,0)</f>
        <v>97.95671135961112</v>
      </c>
      <c r="D24" s="38">
        <f>IF(PSH!$J25&lt;(90-Insolation!$L$7),PSH!X25,0)</f>
        <v>11.213846552313658</v>
      </c>
      <c r="E24" s="38">
        <f>IF(PSH!$J25&lt;(90-Insolation!$L$7),PSH!AB25,0)</f>
        <v>795.64515908117096</v>
      </c>
      <c r="F24" s="38">
        <f>IF(PSH!$J25&lt;(90-Insolation!$L$7),PSH!AC25,0)</f>
        <v>89.675104360526916</v>
      </c>
      <c r="G24" s="38">
        <f>IF(PSH!$J25&lt;(90-Insolation!$L$7),PSH!AD25,0)</f>
        <v>21.104964866409745</v>
      </c>
    </row>
    <row r="25" spans="1:7" x14ac:dyDescent="0.15">
      <c r="A25" s="157">
        <f>Graph!A25</f>
        <v>16</v>
      </c>
      <c r="B25" s="38">
        <f>IF(PSH!$J26&lt;(90-Insolation!$L$7),PSH!V26,0)</f>
        <v>721.45847268545504</v>
      </c>
      <c r="C25" s="38">
        <f>IF(PSH!$J26&lt;(90-Insolation!$L$7),PSH!W26,0)</f>
        <v>94.055182214289218</v>
      </c>
      <c r="D25" s="38">
        <f>IF(PSH!$J26&lt;(90-Insolation!$L$7),PSH!X26,0)</f>
        <v>9.7324963059124929</v>
      </c>
      <c r="E25" s="38">
        <f>IF(PSH!$J26&lt;(90-Insolation!$L$7),PSH!AB26,0)</f>
        <v>763.95531634958468</v>
      </c>
      <c r="F25" s="38">
        <f>IF(PSH!$J26&lt;(90-Insolation!$L$7),PSH!AC26,0)</f>
        <v>82.113297475062808</v>
      </c>
      <c r="G25" s="38">
        <f>IF(PSH!$J26&lt;(90-Insolation!$L$7),PSH!AD26,0)</f>
        <v>22.62462880576053</v>
      </c>
    </row>
    <row r="26" spans="1:7" x14ac:dyDescent="0.15">
      <c r="A26" s="157">
        <f>Graph!A26</f>
        <v>16.5</v>
      </c>
      <c r="B26" s="38">
        <f>IF(PSH!$J27&lt;(90-Insolation!$L$7),PSH!V27,0)</f>
        <v>653.87503243252843</v>
      </c>
      <c r="C26" s="38">
        <f>IF(PSH!$J27&lt;(90-Insolation!$L$7),PSH!W27,0)</f>
        <v>88.783519546323106</v>
      </c>
      <c r="D26" s="38">
        <f>IF(PSH!$J27&lt;(90-Insolation!$L$7),PSH!X27,0)</f>
        <v>8.1334565664090821</v>
      </c>
      <c r="E26" s="38">
        <f>IF(PSH!$J27&lt;(90-Insolation!$L$7),PSH!AB27,0)</f>
        <v>721.13667917955854</v>
      </c>
      <c r="F26" s="38">
        <f>IF(PSH!$J27&lt;(90-Insolation!$L$7),PSH!AC27,0)</f>
        <v>73.448204621581368</v>
      </c>
      <c r="G26" s="38">
        <f>IF(PSH!$J27&lt;(90-Insolation!$L$7),PSH!AD27,0)</f>
        <v>22.790482638714373</v>
      </c>
    </row>
    <row r="27" spans="1:7" x14ac:dyDescent="0.15">
      <c r="A27" s="157">
        <f>Graph!A27</f>
        <v>17</v>
      </c>
      <c r="B27" s="38">
        <f>IF(PSH!$J28&lt;(90-Insolation!$L$7),PSH!V28,0)</f>
        <v>569.40236977110635</v>
      </c>
      <c r="C27" s="38">
        <f>IF(PSH!$J28&lt;(90-Insolation!$L$7),PSH!W28,0)</f>
        <v>81.491871648291578</v>
      </c>
      <c r="D27" s="38">
        <f>IF(PSH!$J28&lt;(90-Insolation!$L$7),PSH!X28,0)</f>
        <v>6.4444755682617645</v>
      </c>
      <c r="E27" s="38">
        <f>IF(PSH!$J28&lt;(90-Insolation!$L$7),PSH!AB28,0)</f>
        <v>661.91088166891188</v>
      </c>
      <c r="F27" s="38">
        <f>IF(PSH!$J28&lt;(90-Insolation!$L$7),PSH!AC28,0)</f>
        <v>63.478800303069654</v>
      </c>
      <c r="G27" s="38">
        <f>IF(PSH!$J28&lt;(90-Insolation!$L$7),PSH!AD28,0)</f>
        <v>21.306275994593161</v>
      </c>
    </row>
    <row r="28" spans="1:7" x14ac:dyDescent="0.15">
      <c r="A28" s="157">
        <f>Graph!A28</f>
        <v>17.5</v>
      </c>
      <c r="B28" s="38">
        <f>IF(PSH!$J29&lt;(90-Insolation!$L$7),PSH!V29,0)</f>
        <v>465.11444077732995</v>
      </c>
      <c r="C28" s="38">
        <f>IF(PSH!$J29&lt;(90-Insolation!$L$7),PSH!W29,0)</f>
        <v>71.05869385684403</v>
      </c>
      <c r="D28" s="38">
        <f>IF(PSH!$J29&lt;(90-Insolation!$L$7),PSH!X29,0)</f>
        <v>4.6972992297666307</v>
      </c>
      <c r="E28" s="38">
        <f>IF(PSH!$J29&lt;(90-Insolation!$L$7),PSH!AB29,0)</f>
        <v>577.16827150589779</v>
      </c>
      <c r="F28" s="38">
        <f>IF(PSH!$J29&lt;(90-Insolation!$L$7),PSH!AC29,0)</f>
        <v>51.795892438491599</v>
      </c>
      <c r="G28" s="38">
        <f>IF(PSH!$J29&lt;(90-Insolation!$L$7),PSH!AD29,0)</f>
        <v>17.982276650538545</v>
      </c>
    </row>
    <row r="29" spans="1:7" x14ac:dyDescent="0.15">
      <c r="A29" s="157">
        <f>Graph!A29</f>
        <v>18</v>
      </c>
      <c r="B29" s="38">
        <f>IF(PSH!$J30&lt;(90-Insolation!$L$7),PSH!V30,0)</f>
        <v>335.58541746967529</v>
      </c>
      <c r="C29" s="38">
        <f>IF(PSH!$J30&lt;(90-Insolation!$L$7),PSH!W30,0)</f>
        <v>55.475989049873341</v>
      </c>
      <c r="D29" s="38">
        <f>IF(PSH!$J30&lt;(90-Insolation!$L$7),PSH!X30,0)</f>
        <v>2.9347845110914039</v>
      </c>
      <c r="E29" s="38">
        <f>IF(PSH!$J30&lt;(90-Insolation!$L$7),PSH!AB30,0)</f>
        <v>450.59906074971565</v>
      </c>
      <c r="F29" s="38">
        <f>IF(PSH!$J30&lt;(90-Insolation!$L$7),PSH!AC30,0)</f>
        <v>37.612957133309386</v>
      </c>
      <c r="G29" s="38">
        <f>IF(PSH!$J30&lt;(90-Insolation!$L$7),PSH!AD30,0)</f>
        <v>12.793871660234963</v>
      </c>
    </row>
    <row r="30" spans="1:7" x14ac:dyDescent="0.15">
      <c r="A30" s="157">
        <f>Graph!A30</f>
        <v>18.5</v>
      </c>
      <c r="B30" s="38">
        <f>IF(PSH!$J31&lt;(90-Insolation!$L$7),PSH!V31,0)</f>
        <v>173.55018365500968</v>
      </c>
      <c r="C30" s="38">
        <f>IF(PSH!$J31&lt;(90-Insolation!$L$7),PSH!W31,0)</f>
        <v>31.499890705124294</v>
      </c>
      <c r="D30" s="38">
        <f>IF(PSH!$J31&lt;(90-Insolation!$L$7),PSH!X31,0)</f>
        <v>1.2505228881079899</v>
      </c>
      <c r="E30" s="38">
        <f>IF(PSH!$J31&lt;(90-Insolation!$L$7),PSH!AB31,0)</f>
        <v>255.85521607712755</v>
      </c>
      <c r="F30" s="38">
        <f>IF(PSH!$J31&lt;(90-Insolation!$L$7),PSH!AC31,0)</f>
        <v>19.753313499944248</v>
      </c>
      <c r="G30" s="38">
        <f>IF(PSH!$J31&lt;(90-Insolation!$L$7),PSH!AD31,0)</f>
        <v>6.1157632646982609</v>
      </c>
    </row>
    <row r="31" spans="1:7" x14ac:dyDescent="0.15">
      <c r="A31" s="157">
        <f>Graph!A31</f>
        <v>19</v>
      </c>
      <c r="B31" s="38">
        <f>IF(PSH!$J32&lt;(90-Insolation!$L$7),PSH!V32,0)</f>
        <v>12.970736361764875</v>
      </c>
      <c r="C31" s="38">
        <f>IF(PSH!$J32&lt;(90-Insolation!$L$7),PSH!W32,0)</f>
        <v>2.626096917383177</v>
      </c>
      <c r="D31" s="38">
        <f>IF(PSH!$J32&lt;(90-Insolation!$L$7),PSH!X32,0)</f>
        <v>7.0176051577815937E-2</v>
      </c>
      <c r="E31" s="38">
        <f>IF(PSH!$J32&lt;(90-Insolation!$L$7),PSH!AB32,0)</f>
        <v>21.330251603928545</v>
      </c>
      <c r="F31" s="38">
        <f>IF(PSH!$J32&lt;(90-Insolation!$L$7),PSH!AC32,0)</f>
        <v>1.5153888427982474</v>
      </c>
      <c r="G31" s="38">
        <f>IF(PSH!$J32&lt;(90-Insolation!$L$7),PSH!AD32,0)</f>
        <v>0.37983845141900396</v>
      </c>
    </row>
    <row r="32" spans="1:7" x14ac:dyDescent="0.15">
      <c r="A32" s="157">
        <f>Graph!A32</f>
        <v>19.5</v>
      </c>
      <c r="B32" s="38">
        <f>IF(PSH!$J33&lt;(90-Insolation!$L$7),PSH!V33,0)</f>
        <v>0</v>
      </c>
      <c r="C32" s="38">
        <f>IF(PSH!$J33&lt;(90-Insolation!$L$7),PSH!W33,0)</f>
        <v>0</v>
      </c>
      <c r="D32" s="38">
        <f>IF(PSH!$J33&lt;(90-Insolation!$L$7),PSH!X33,0)</f>
        <v>0</v>
      </c>
      <c r="E32" s="38">
        <f>IF(PSH!$J33&lt;(90-Insolation!$L$7),PSH!AB33,0)</f>
        <v>0</v>
      </c>
      <c r="F32" s="38">
        <f>IF(PSH!$J33&lt;(90-Insolation!$L$7),PSH!AC33,0)</f>
        <v>0</v>
      </c>
      <c r="G32" s="38">
        <f>IF(PSH!$J33&lt;(90-Insolation!$L$7),PSH!AD33,0)</f>
        <v>0</v>
      </c>
    </row>
    <row r="33" spans="1:2" x14ac:dyDescent="0.15">
      <c r="A33" s="38">
        <f>SUM(B2:D32)</f>
        <v>12303.747589321134</v>
      </c>
    </row>
    <row r="34" spans="1:2" x14ac:dyDescent="0.15">
      <c r="A34" s="38">
        <f>SUM(E2:G32)</f>
        <v>13361.879377535855</v>
      </c>
      <c r="B34" s="38">
        <f>SUM(PSH!AB3:AD33)</f>
        <v>22203.063634087375</v>
      </c>
    </row>
    <row r="35" spans="1:2" x14ac:dyDescent="0.15">
      <c r="A35" s="224">
        <f>(A34-A33)/A34</f>
        <v>7.9190341292383212E-2</v>
      </c>
      <c r="B35" s="224">
        <f>(A34-A33)/B34</f>
        <v>4.7657017322159934E-2</v>
      </c>
    </row>
    <row r="36" spans="1:2" x14ac:dyDescent="0.15">
      <c r="A36">
        <v>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Title Page</vt:lpstr>
      <vt:lpstr>Time</vt:lpstr>
      <vt:lpstr>Angles</vt:lpstr>
      <vt:lpstr>Insolation</vt:lpstr>
      <vt:lpstr>Sunrise-Sunset</vt:lpstr>
      <vt:lpstr>Position</vt:lpstr>
      <vt:lpstr>Graph</vt:lpstr>
      <vt:lpstr>PSH</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Microsoft Office User</cp:lastModifiedBy>
  <cp:lastPrinted>2011-03-14T20:51:27Z</cp:lastPrinted>
  <dcterms:created xsi:type="dcterms:W3CDTF">2006-12-22T17:13:57Z</dcterms:created>
  <dcterms:modified xsi:type="dcterms:W3CDTF">2023-05-15T19:18:45Z</dcterms:modified>
</cp:coreProperties>
</file>